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showInkAnnotation="0" codeName="ThisWorkbook" defaultThemeVersion="124226"/>
  <mc:AlternateContent xmlns:mc="http://schemas.openxmlformats.org/markup-compatibility/2006">
    <mc:Choice Requires="x15">
      <x15ac:absPath xmlns:x15ac="http://schemas.microsoft.com/office/spreadsheetml/2010/11/ac" url="https://faithornfarrell365.sharepoint.com/sites/Projects/Shared Documents/T1/T1-7413-JW-Royal Borough of Greenwich-Repairs &amp; Voids/03-Mail/02-Letters/01-S20/02-Stage 2/04-Leaseholder documents/Successful Tenderers/Price Submissions/"/>
    </mc:Choice>
  </mc:AlternateContent>
  <xr:revisionPtr revIDLastSave="36" documentId="8_{BCB48A39-9B18-4522-BE97-F02E9FA13F19}" xr6:coauthVersionLast="47" xr6:coauthVersionMax="47" xr10:uidLastSave="{5EB15633-000B-486F-8424-D1D43A7F8D63}"/>
  <bookViews>
    <workbookView xWindow="28680" yWindow="-120" windowWidth="29040" windowHeight="15720" firstSheet="29" activeTab="29" xr2:uid="{00000000-000D-0000-FFFF-FFFF00000000}"/>
  </bookViews>
  <sheets>
    <sheet name="Cover page" sheetId="67" state="hidden" r:id="rId1"/>
    <sheet name="Contents" sheetId="139" state="hidden" r:id="rId2"/>
    <sheet name="Check List" sheetId="145" state="hidden" r:id="rId3"/>
    <sheet name="Contact Details" sheetId="181" state="hidden" r:id="rId4"/>
    <sheet name="QA" sheetId="123" state="hidden" r:id="rId5"/>
    <sheet name="Project Info" sheetId="1" state="hidden" r:id="rId6"/>
    <sheet name="Dates" sheetId="2" state="hidden" r:id="rId7"/>
    <sheet name="0_Doc_Merge" sheetId="32" state="hidden" r:id="rId8"/>
    <sheet name="LookUp" sheetId="4" state="hidden" r:id="rId9"/>
    <sheet name="Lot_LookUp" sheetId="45" state="hidden" r:id="rId10"/>
    <sheet name="Q_LookUp" sheetId="162" state="hidden" r:id="rId11"/>
    <sheet name="Price_LookUp" sheetId="171" state="hidden" r:id="rId12"/>
    <sheet name="Price_Tables" sheetId="68" state="hidden" r:id="rId13"/>
    <sheet name="Qs_All" sheetId="163" state="hidden" r:id="rId14"/>
    <sheet name="Doc_Tables 1" sheetId="168" state="hidden" r:id="rId15"/>
    <sheet name="Doc_Tables 2" sheetId="69" state="hidden" r:id="rId16"/>
    <sheet name="Doc_Tables 3" sheetId="70" state="hidden" r:id="rId17"/>
    <sheet name="Part 1_Core 1" sheetId="125" state="hidden" r:id="rId18"/>
    <sheet name="Part 1_Core 2" sheetId="128" state="hidden" r:id="rId19"/>
    <sheet name="Part 1_Core 3" sheetId="135" state="hidden" r:id="rId20"/>
    <sheet name="Part 1_Core 3_D&amp;S" sheetId="136" state="hidden" r:id="rId21"/>
    <sheet name="Part 1_Core 4" sheetId="130" state="hidden" r:id="rId22"/>
    <sheet name="Part 2_Optional 1" sheetId="131" state="hidden" r:id="rId23"/>
    <sheet name="Part 2_Optional 2" sheetId="132" state="hidden" r:id="rId24"/>
    <sheet name="Part 2_Optional 3" sheetId="133" state="hidden" r:id="rId25"/>
    <sheet name="Part 3_Q5" sheetId="143" state="hidden" r:id="rId26"/>
    <sheet name="Part 3_Q6 (Experience Qs)" sheetId="165" state="hidden" r:id="rId27"/>
    <sheet name="Part 4 (Tech Qs)" sheetId="166" state="hidden" r:id="rId28"/>
    <sheet name="Part 5 (Not used)" sheetId="167" state="hidden" r:id="rId29"/>
    <sheet name="NHF SOR" sheetId="89" r:id="rId30"/>
    <sheet name="Void Baskets" sheetId="172" r:id="rId31"/>
    <sheet name="Electrics and Rewire Baskets" sheetId="182" r:id="rId32"/>
    <sheet name="Decent Homes Baskets" sheetId="184" r:id="rId33"/>
    <sheet name="Daywork" sheetId="174" r:id="rId34"/>
    <sheet name="OOH" sheetId="173" r:id="rId35"/>
    <sheet name="Additional" sheetId="175" r:id="rId36"/>
    <sheet name="Part 6_(X) (6)" sheetId="176" state="hidden" r:id="rId37"/>
    <sheet name="Part 6_(X) (7)" sheetId="177" state="hidden" r:id="rId38"/>
    <sheet name="Summary" sheetId="90" r:id="rId39"/>
    <sheet name="Response" sheetId="164" state="hidden" r:id="rId40"/>
    <sheet name="Response_PAS" sheetId="161" state="hidden" r:id="rId41"/>
    <sheet name="Output" sheetId="104" state="hidden" r:id="rId42"/>
  </sheets>
  <externalReferences>
    <externalReference r:id="rId43"/>
    <externalReference r:id="rId44"/>
    <externalReference r:id="rId45"/>
    <externalReference r:id="rId46"/>
    <externalReference r:id="rId47"/>
    <externalReference r:id="rId48"/>
  </externalReferences>
  <definedNames>
    <definedName name="Check_List">#REF!</definedName>
    <definedName name="Contact_Details">'Contact Details'!$A$4</definedName>
    <definedName name="Contract_List">#REF!</definedName>
    <definedName name="Contract_type">#REF!</definedName>
    <definedName name="Doc_Lot">'[1]Project Info'!$B$25</definedName>
    <definedName name="ESP">#REF!</definedName>
    <definedName name="FAC">#REF!</definedName>
    <definedName name="Final_Return_Time">[2]Dates!$B$37</definedName>
    <definedName name="Footnote_1">#REF!</definedName>
    <definedName name="Footnote_2">#REF!</definedName>
    <definedName name="Footnote_3">#REF!</definedName>
    <definedName name="Footnote_4">#REF!</definedName>
    <definedName name="Interviews">#REF!</definedName>
    <definedName name="IntSV_Points_Lot_1">#REF!</definedName>
    <definedName name="IntSV_Points_Lot_2">#REF!</definedName>
    <definedName name="IntSV_Points_Lot_3">#REF!</definedName>
    <definedName name="IntSV_Points_Lot_4">#REF!</definedName>
    <definedName name="IntSV_Points_Lot_5">#REF!</definedName>
    <definedName name="IntSV_Qs_Lot_1">#REF!</definedName>
    <definedName name="IntSV_Qs_Lot_2">#REF!</definedName>
    <definedName name="IntSV_Qs_Lot_3">#REF!</definedName>
    <definedName name="IntSV_Qs_Lot_4">#REF!</definedName>
    <definedName name="IntSV_Qs_Lot_5">#REF!</definedName>
    <definedName name="JCT">#REF!</definedName>
    <definedName name="Job_No">'[1]Project Info'!$B$3</definedName>
    <definedName name="Leaseholders">'[1]Project Info'!$B$66</definedName>
    <definedName name="List">#REF!</definedName>
    <definedName name="List_2">#REF!</definedName>
    <definedName name="LOT">#REF!</definedName>
    <definedName name="Lot_1">[3]Lots!$D$8</definedName>
    <definedName name="Lot_2">[4]Lots!$D$8</definedName>
    <definedName name="Lot_3">[4]Lots!$D$9</definedName>
    <definedName name="Lot_4">[4]Lots!$D$10</definedName>
    <definedName name="Lotted?">'[1]Project Info'!$B$23</definedName>
    <definedName name="LUp_Advertise">LookUp!$D$2:$D$3</definedName>
    <definedName name="LUp_Approx">LookUp!$E$2:$E$3</definedName>
    <definedName name="LUp_CAType">LookUp!$F$2:$F$4</definedName>
    <definedName name="LUp_CCSValues">LookUp!$G$2:$G$6</definedName>
    <definedName name="LUp_Competitive">LookUp!$H$2:$H$4</definedName>
    <definedName name="LUp_Contract_List">LookUp!$I$2:$I$7</definedName>
    <definedName name="LUp_Contract_type">LookUp!$J$2:$J$11</definedName>
    <definedName name="LUp_DurUnit">LookUp!$K$2:$K$5</definedName>
    <definedName name="LUp_IntSV">LookUp!$L$2:$L$4</definedName>
    <definedName name="LUp_JCT">LookUp!$G$15:$G$29</definedName>
    <definedName name="LUp_Lots">LookUp!$M$2:$M$7</definedName>
    <definedName name="LUp_Marking">LookUp!$N$2:$N$3</definedName>
    <definedName name="LUp_Marks">LookUp!$O$2:$O$3</definedName>
    <definedName name="LUp_Names">TBL_REF_02_Resources[LUp_Names]</definedName>
    <definedName name="LUp_NEC3_Contract">LookUp!$H$15:$H$21</definedName>
    <definedName name="LUp_NHF">LookUp!$I$15:$I$17</definedName>
    <definedName name="LUp_Offices">TBL_REF_04_Offices[LUp_Offices]</definedName>
    <definedName name="LUp_Partnering">LookUp!$J$15:$J$19</definedName>
    <definedName name="LUp_PCG">LookUp!$P$2:$P$5</definedName>
    <definedName name="LUp_Portal_Name">LookUp!$Q$2:$Q$7</definedName>
    <definedName name="LUp_Procedure">LookUp!$R$2:$R$6</definedName>
    <definedName name="LUp_Property_Type">LookUp!$S$2:$S$9</definedName>
    <definedName name="LUp_PropType">LookUp!$S$2:$S$9</definedName>
    <definedName name="LUp_ProviderType">LookUp!$T$2:$T$6</definedName>
    <definedName name="LUp_Restricted">LookUp!$U$2:$U$3</definedName>
    <definedName name="LUp_RIBA">LookUp!$K$15:$K$20</definedName>
    <definedName name="LUp_services">LookUp!$V$2:$V$4</definedName>
    <definedName name="LUp_SQ_List_1">LookUp!$W$2</definedName>
    <definedName name="LUp_SQ_List_2">LookUp!$X$2</definedName>
    <definedName name="LUp_SQ_List_3">LookUp!$Y$2:$Y$3</definedName>
    <definedName name="LUp_supplies">LookUp!$Z$2:$Z$4</definedName>
    <definedName name="LUp_Tender">LookUp!$AA$2:$AA$2</definedName>
    <definedName name="LUp_TenderType">LookUp!$AB$2:$AB$4</definedName>
    <definedName name="LUp_Uplift">LookUp!$AC$2:$AC$6</definedName>
    <definedName name="LUp_ValueType">LookUp!$AD$2:$AD$4</definedName>
    <definedName name="LUp_W_S_S">LookUp!$AE$2:$AE$4</definedName>
    <definedName name="LUp_works">LookUp!$AF$2:$AF$5</definedName>
    <definedName name="LUp_Yes">LookUp!$AG$2:$AG$2</definedName>
    <definedName name="LUp_YesNo">LookUp!$AH$2:$AH$3</definedName>
    <definedName name="marks">#REF!</definedName>
    <definedName name="Names">#REF!</definedName>
    <definedName name="NEC3_Contract">#REF!</definedName>
    <definedName name="NHF">#REF!</definedName>
    <definedName name="No_Lots?">'[1]Project Info'!$B$24</definedName>
    <definedName name="Offices">#REF!</definedName>
    <definedName name="Part_1">#REF!</definedName>
    <definedName name="Part_2">#REF!</definedName>
    <definedName name="Part_3">#REF!</definedName>
    <definedName name="Part_4">#REF!</definedName>
    <definedName name="Part_4_8.2">'[1]Project Info'!$H$79</definedName>
    <definedName name="Part_5_7">#REF!</definedName>
    <definedName name="Part_5_8">#REF!</definedName>
    <definedName name="Part_6">#REF!</definedName>
    <definedName name="Part_7">#REF!</definedName>
    <definedName name="Part_8">#REF!</definedName>
    <definedName name="Part_9">#REF!</definedName>
    <definedName name="Partnering">#REF!</definedName>
    <definedName name="Portal_Name">#REF!</definedName>
    <definedName name="PPC">#REF!</definedName>
    <definedName name="Price_split">'[1]Project Info'!$B$102</definedName>
    <definedName name="_xlnm.Print_Area" localSheetId="35">Additional!$A$1:$D$16</definedName>
    <definedName name="_xlnm.Print_Area" localSheetId="1">Contents!$A$1:$C$79</definedName>
    <definedName name="_xlnm.Print_Area" localSheetId="33">Daywork!$A$1:$D$24</definedName>
    <definedName name="_xlnm.Print_Area" localSheetId="32">'Decent Homes Baskets'!$A$1:$D$30</definedName>
    <definedName name="_xlnm.Print_Area" localSheetId="31">'Electrics and Rewire Baskets'!$A$1:$D$42</definedName>
    <definedName name="_xlnm.Print_Area" localSheetId="29">'NHF SOR'!$A$1:$D$11</definedName>
    <definedName name="_xlnm.Print_Area" localSheetId="34">OOH!$A$1:$D$16</definedName>
    <definedName name="_xlnm.Print_Area" localSheetId="17">'Part 1_Core 1'!$A$1:$D$68</definedName>
    <definedName name="_xlnm.Print_Area" localSheetId="18">'Part 1_Core 2'!$A$1:$E$35</definedName>
    <definedName name="_xlnm.Print_Area" localSheetId="19">'Part 1_Core 3'!$A$1:$C$63</definedName>
    <definedName name="_xlnm.Print_Area" localSheetId="20">'Part 1_Core 3_D&amp;S'!$A$1:$C$60</definedName>
    <definedName name="_xlnm.Print_Area" localSheetId="21">'Part 1_Core 4'!$A$1:$E$91</definedName>
    <definedName name="_xlnm.Print_Area" localSheetId="22">'Part 2_Optional 1'!$A$1:$E$23</definedName>
    <definedName name="_xlnm.Print_Area" localSheetId="23">'Part 2_Optional 2'!$A$1:$E$20</definedName>
    <definedName name="_xlnm.Print_Area" localSheetId="24">'Part 2_Optional 3'!$A$1:$E$17</definedName>
    <definedName name="_xlnm.Print_Area" localSheetId="25">'Part 3_Q5'!$A$1:$C$29</definedName>
    <definedName name="_xlnm.Print_Area" localSheetId="26">'Part 3_Q6 (Experience Qs)'!$A$1:$C$180</definedName>
    <definedName name="_xlnm.Print_Area" localSheetId="27">'Part 4 (Tech Qs)'!$A$1:$C$131</definedName>
    <definedName name="_xlnm.Print_Area" localSheetId="28">'Part 5 (Not used)'!$A$1:$B$70</definedName>
    <definedName name="_xlnm.Print_Area" localSheetId="36">'Part 6_(X) (6)'!$A$1:$D$15</definedName>
    <definedName name="_xlnm.Print_Area" localSheetId="37">'Part 6_(X) (7)'!$A$1:$D$15</definedName>
    <definedName name="_xlnm.Print_Area" localSheetId="5">TBL_ADD_02_Project_Info[#All]</definedName>
    <definedName name="_xlnm.Print_Area" localSheetId="13">Qs_All!$A$3:$C$314</definedName>
    <definedName name="_xlnm.Print_Area" localSheetId="30">'Void Baskets'!$A$1:$D$157</definedName>
    <definedName name="_xlnm.Print_Titles" localSheetId="35">Additional!$1:$3</definedName>
    <definedName name="_xlnm.Print_Titles" localSheetId="2">'Check List'!$1:$3</definedName>
    <definedName name="_xlnm.Print_Titles" localSheetId="3">'Contact Details'!$1:$2</definedName>
    <definedName name="_xlnm.Print_Titles" localSheetId="33">Daywork!$1:$3</definedName>
    <definedName name="_xlnm.Print_Titles" localSheetId="32">'Decent Homes Baskets'!$1:$3</definedName>
    <definedName name="_xlnm.Print_Titles" localSheetId="31">'Electrics and Rewire Baskets'!$1:$3</definedName>
    <definedName name="_xlnm.Print_Titles" localSheetId="29">'NHF SOR'!$1:$3</definedName>
    <definedName name="_xlnm.Print_Titles" localSheetId="34">OOH!$1:$3</definedName>
    <definedName name="_xlnm.Print_Titles" localSheetId="17">'Part 1_Core 1'!$1:$3</definedName>
    <definedName name="_xlnm.Print_Titles" localSheetId="18">'Part 1_Core 2'!$1:$3</definedName>
    <definedName name="_xlnm.Print_Titles" localSheetId="19">'Part 1_Core 3'!$1:$3</definedName>
    <definedName name="_xlnm.Print_Titles" localSheetId="20">'Part 1_Core 3_D&amp;S'!$1:$3</definedName>
    <definedName name="_xlnm.Print_Titles" localSheetId="21">'Part 1_Core 4'!$1:$3</definedName>
    <definedName name="_xlnm.Print_Titles" localSheetId="22">'Part 2_Optional 1'!$1:$3</definedName>
    <definedName name="_xlnm.Print_Titles" localSheetId="23">'Part 2_Optional 2'!$1:$3</definedName>
    <definedName name="_xlnm.Print_Titles" localSheetId="24">'Part 2_Optional 3'!$1:$3</definedName>
    <definedName name="_xlnm.Print_Titles" localSheetId="25">'Part 3_Q5'!$1:$3</definedName>
    <definedName name="_xlnm.Print_Titles" localSheetId="26">'Part 3_Q6 (Experience Qs)'!$1:$3</definedName>
    <definedName name="_xlnm.Print_Titles" localSheetId="27">'Part 4 (Tech Qs)'!$1:$3</definedName>
    <definedName name="_xlnm.Print_Titles" localSheetId="28">'Part 5 (Not used)'!$1:$3</definedName>
    <definedName name="_xlnm.Print_Titles" localSheetId="36">'Part 6_(X) (6)'!$1:$3</definedName>
    <definedName name="_xlnm.Print_Titles" localSheetId="37">'Part 6_(X) (7)'!$1:$3</definedName>
    <definedName name="_xlnm.Print_Titles" localSheetId="38">Summary!$1:$3</definedName>
    <definedName name="_xlnm.Print_Titles" localSheetId="30">'Void Baskets'!$1:$3</definedName>
    <definedName name="Procedure">#REF!</definedName>
    <definedName name="Property_Type">'[1]Project Info'!$S$1:$S$8</definedName>
    <definedName name="Q2.1_app">#REF!</definedName>
    <definedName name="Q2.1_app_q">#REF!</definedName>
    <definedName name="Q2.1_page">#REF!</definedName>
    <definedName name="Q2.1_score">#REF!</definedName>
    <definedName name="Q2.1_subs">#REF!</definedName>
    <definedName name="Q2.10_app">#REF!</definedName>
    <definedName name="Q2.10_app_q">#REF!</definedName>
    <definedName name="Q2.10_page">#REF!</definedName>
    <definedName name="Q2.10_score">#REF!</definedName>
    <definedName name="Q2.10_subs">#REF!</definedName>
    <definedName name="Q2.2_app">#REF!</definedName>
    <definedName name="Q2.2_app_q">#REF!</definedName>
    <definedName name="Q2.2_page">#REF!</definedName>
    <definedName name="Q2.2_score">#REF!</definedName>
    <definedName name="Q2.2_subs">#REF!</definedName>
    <definedName name="Q2.3_app">#REF!</definedName>
    <definedName name="Q2.3_app_q">#REF!</definedName>
    <definedName name="Q2.3_page">#REF!</definedName>
    <definedName name="Q2.3_score">#REF!</definedName>
    <definedName name="Q2.3_subs">#REF!</definedName>
    <definedName name="Q2.4_app">#REF!</definedName>
    <definedName name="Q2.4_app_q">#REF!</definedName>
    <definedName name="Q2.4_page">#REF!</definedName>
    <definedName name="Q2.4_score">#REF!</definedName>
    <definedName name="Q2.4_subs">#REF!</definedName>
    <definedName name="Q2.5_app">#REF!</definedName>
    <definedName name="Q2.5_app_q">#REF!</definedName>
    <definedName name="Q2.5_page">#REF!</definedName>
    <definedName name="Q2.5_score">#REF!</definedName>
    <definedName name="Q2.5_subs">#REF!</definedName>
    <definedName name="Q2.6_app">#REF!</definedName>
    <definedName name="Q2.6_app_q">#REF!</definedName>
    <definedName name="Q2.6_page">#REF!</definedName>
    <definedName name="Q2.6_score">#REF!</definedName>
    <definedName name="Q2.6_subs">#REF!</definedName>
    <definedName name="Q2.7_app">#REF!</definedName>
    <definedName name="Q2.7_app_q">#REF!</definedName>
    <definedName name="Q2.7_page">#REF!</definedName>
    <definedName name="Q2.7_score">#REF!</definedName>
    <definedName name="Q2.7_subs">#REF!</definedName>
    <definedName name="Q2.8_app">#REF!</definedName>
    <definedName name="Q2.8_app_q">#REF!</definedName>
    <definedName name="Q2.8_page">#REF!</definedName>
    <definedName name="Q2.8_score">#REF!</definedName>
    <definedName name="Q2.8_subs">#REF!</definedName>
    <definedName name="Q2.9_app">#REF!</definedName>
    <definedName name="Q2.9_app_q">#REF!</definedName>
    <definedName name="Q2.9_page">#REF!</definedName>
    <definedName name="Q2.9_score">#REF!</definedName>
    <definedName name="Q2.9_subs">#REF!</definedName>
    <definedName name="Q2_points">#REF!</definedName>
    <definedName name="Q2_Qs">#REF!</definedName>
    <definedName name="Q2_Weighting">'[2]Project Info'!$B$82</definedName>
    <definedName name="Q3.1_score">#REF!</definedName>
    <definedName name="Q3.1_subs">#REF!</definedName>
    <definedName name="Q3.2_score">#REF!</definedName>
    <definedName name="Q3.2_subs">#REF!</definedName>
    <definedName name="Q3.3_score">#REF!</definedName>
    <definedName name="Q3.3_subs">#REF!</definedName>
    <definedName name="Q3.4_score">#REF!</definedName>
    <definedName name="Q3.4_subs">#REF!</definedName>
    <definedName name="Q3.5_score">#REF!</definedName>
    <definedName name="Q3.5_subs">#REF!</definedName>
    <definedName name="Q3_points">#REF!</definedName>
    <definedName name="Q3_Qs">#REF!</definedName>
    <definedName name="Q3_Weighting">'[2]Project Info'!$B$83</definedName>
    <definedName name="Q4.1_score">#REF!</definedName>
    <definedName name="Q4.1_subs">#REF!</definedName>
    <definedName name="Q4.2_score">#REF!</definedName>
    <definedName name="Q4.2_subs">#REF!</definedName>
    <definedName name="Q4.3_score">#REF!</definedName>
    <definedName name="Q4.3_subs">#REF!</definedName>
    <definedName name="Q4.4_score">#REF!</definedName>
    <definedName name="Q4.4_subs">#REF!</definedName>
    <definedName name="Q4.5_score">#REF!</definedName>
    <definedName name="Q4.5_subs">#REF!</definedName>
    <definedName name="Q4_points">#REF!</definedName>
    <definedName name="Q4_Qs">#REF!</definedName>
    <definedName name="Q4_Weighting">'[2]Project Info'!$B$84</definedName>
    <definedName name="REF_Alternative">'Project Info'!$K$19</definedName>
    <definedName name="REF_Alternative_Response">#REF!</definedName>
    <definedName name="REF_CCS_Q">'Project Info'!$K$101</definedName>
    <definedName name="REF_Doc_Lot">'Project Info'!$K$25</definedName>
    <definedName name="REF_Fin_Check">'Project Info'!$K$68</definedName>
    <definedName name="REF_Int_or_SV">'Project Info'!$K$98</definedName>
    <definedName name="REF_IntSV_1_Qs">'Project Info'!$K$118</definedName>
    <definedName name="REF_IntSV_Fail">'Project Info'!$K$119</definedName>
    <definedName name="REF_IntSV_Marking">'Project Info'!$K$117</definedName>
    <definedName name="REF_IntSV_Weighted">'Project Info'!$K$116</definedName>
    <definedName name="REF_IntSV_Weighting">'Project Info'!$K$115</definedName>
    <definedName name="REF_Job_No">'Project Info'!$K$5</definedName>
    <definedName name="REF_Leaseholders">'Project Info'!$K$35</definedName>
    <definedName name="REF_Limit_wins">'Project Info'!$K$58</definedName>
    <definedName name="REF_Lot_1">#REF!</definedName>
    <definedName name="REF_Lot_2">#REF!</definedName>
    <definedName name="REF_Lot_3">#REF!</definedName>
    <definedName name="REF_Lot_4">#REF!</definedName>
    <definedName name="REF_Lot_5">#REF!</definedName>
    <definedName name="REF_Lot_Order">'Project Info'!$K$60</definedName>
    <definedName name="REF_Lotted">'Project Info'!$K$22</definedName>
    <definedName name="REF_marks">'Project Info'!$L$95</definedName>
    <definedName name="REF_No_Lots">'Project Info'!$K$23</definedName>
    <definedName name="REF_Select_1_Qs">'Project Info'!$K$104</definedName>
    <definedName name="REF_Select_1_Response">'Project Info'!$K$105</definedName>
    <definedName name="REF_Select_Fail">'Project Info'!$K$106</definedName>
    <definedName name="REF_Select_Include">'Project Info'!$K$100</definedName>
    <definedName name="REF_Select_Marking">'Project Info'!$K$103</definedName>
    <definedName name="REF_Select_Weighted">'Project Info'!$K$102</definedName>
    <definedName name="REF_Split_Price">'Project Info'!$K$96</definedName>
    <definedName name="REF_Split_Tech">'Project Info'!$K$97</definedName>
    <definedName name="REF_Tech_1_Qs">'Project Info'!$K$111</definedName>
    <definedName name="REF_Tech_1_Response">'Project Info'!$K$112</definedName>
    <definedName name="REF_Tech_Fail">'Project Info'!$K$113</definedName>
    <definedName name="REF_Tech_Marking">'Project Info'!$K$110</definedName>
    <definedName name="REF_Tech_Weighted">'Project Info'!$K$109</definedName>
    <definedName name="REF_Tech_Weighting">'Project Info'!$K$108</definedName>
    <definedName name="REP_DECENT_BASKET">'Decent Homes Baskets'!$D$11</definedName>
    <definedName name="REP_ELEC_ADJUSTMENT">'Electrics and Rewire Baskets'!$D$11</definedName>
    <definedName name="Return_Date">#REF!</definedName>
    <definedName name="Return_Time">#REF!</definedName>
    <definedName name="RIBA">#REF!</definedName>
    <definedName name="Section6_Weighted?">'[5]Project Info'!$B$66</definedName>
    <definedName name="services">#REF!</definedName>
    <definedName name="SiteVisits">#REF!</definedName>
    <definedName name="SQ_List_1">#REF!</definedName>
    <definedName name="SQ_List_2">#REF!</definedName>
    <definedName name="SQ_List_3">#REF!</definedName>
    <definedName name="SQ_Min_Lot_1">#REF!</definedName>
    <definedName name="SQ_Min_Lot_2">#REF!</definedName>
    <definedName name="SQ_Min_Lot_3">#REF!</definedName>
    <definedName name="SQ_Min_Lot_4">#REF!</definedName>
    <definedName name="SQ_Min_Lot_5">#REF!</definedName>
    <definedName name="SQ_Points_Lot_1">#REF!</definedName>
    <definedName name="SQ_Points_Lot_2">#REF!</definedName>
    <definedName name="SQ_Points_Lot_3">#REF!</definedName>
    <definedName name="SQ_Points_Lot_4">#REF!</definedName>
    <definedName name="SQ_Points_Lot_5">#REF!</definedName>
    <definedName name="SQ_Qs_Lot_1">#REF!</definedName>
    <definedName name="SQ_Qs_Lot_2">#REF!</definedName>
    <definedName name="SQ_Qs_Lot_3">#REF!</definedName>
    <definedName name="SQ_Qs_Lot_4">#REF!</definedName>
    <definedName name="SQ_Qs_Lot_5">#REF!</definedName>
    <definedName name="SQ_Same_Qs?">'[1]Project Info'!$B$108</definedName>
    <definedName name="SQ_Same_Response?">'[1]Project Info'!$B$109</definedName>
    <definedName name="SQ_Weighted?">'[1]Project Info'!$B$106</definedName>
    <definedName name="SUBTOTAL_A">'[6]PF-Door Rates'!$J$22</definedName>
    <definedName name="SUBTOTAL_B">'[6]PF-Door Rates'!$J$35</definedName>
    <definedName name="SUBTOTAL_C">'[6]PF-Door Rates'!$J$48</definedName>
    <definedName name="SUBTOTAL_D">'[6]PF-Door Rates'!$J$62</definedName>
    <definedName name="supplies">#REF!</definedName>
    <definedName name="TAC">#REF!</definedName>
    <definedName name="Tech_Points_Lot_1">#REF!</definedName>
    <definedName name="Tech_Points_Lot_2">#REF!</definedName>
    <definedName name="Tech_Points_Lot_3">#REF!</definedName>
    <definedName name="Tech_Points_Lot_4">#REF!</definedName>
    <definedName name="Tech_Points_Lot_5">#REF!</definedName>
    <definedName name="Tech_Qs_Lot_1">#REF!</definedName>
    <definedName name="Tech_Qs_Lot_2">#REF!</definedName>
    <definedName name="Tech_Qs_Lot_3">#REF!</definedName>
    <definedName name="Tech_Qs_Lot_4">#REF!</definedName>
    <definedName name="Tech_Qs_Lot_5">#REF!</definedName>
    <definedName name="Tech_Same_Qs?">'[1]Project Info'!$B$114</definedName>
    <definedName name="Tech_Same_Response?">'[1]Project Info'!$B$115</definedName>
    <definedName name="Tech_split">'[1]Project Info'!$B$103</definedName>
    <definedName name="Tech_Weighted?">'[1]Project Info'!$B$112</definedName>
    <definedName name="Tech_Weighting">'[1]Project Info'!$B$111</definedName>
    <definedName name="Threshold">#REF!</definedName>
    <definedName name="TOTAL_DAYWORK">Daywork!$F$24</definedName>
    <definedName name="TOTAL_NHF_REPAIRS">'NHF SOR'!$E$9</definedName>
    <definedName name="TOTAL_NHF_VOIDS">'NHF SOR'!$E$10</definedName>
    <definedName name="TOTAL_REP_DECENT">'Decent Homes Baskets'!$E$30</definedName>
    <definedName name="TOTAL_REP_ELEC">'Electrics and Rewire Baskets'!$E$42</definedName>
    <definedName name="TOTAL_VOID_DECENT">'Decent Homes Baskets'!$F$30</definedName>
    <definedName name="TOTAL_VOID_ELEC">'Electrics and Rewire Baskets'!$F$42</definedName>
    <definedName name="TOTAL_VOIDBASKETS">'Void Baskets'!$E$157</definedName>
    <definedName name="TPC">#REF!</definedName>
    <definedName name="TUPE">#REF!</definedName>
    <definedName name="VOID_DECENT_BASKET">'Decent Homes Baskets'!$D$12</definedName>
    <definedName name="VOID_ELEC_ADJUSTMENT">'Electrics and Rewire Baskets'!$D$12</definedName>
    <definedName name="works">#REF!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 i="90" l="1" a="1"/>
  <c r="A8" i="90" s="1"/>
  <c r="G12" i="184" l="1"/>
  <c r="G11" i="184"/>
  <c r="A4" i="184"/>
  <c r="G12" i="182"/>
  <c r="F17" i="182" s="1"/>
  <c r="G11" i="182"/>
  <c r="E17" i="182" s="1"/>
  <c r="A4" i="182"/>
  <c r="G11" i="172"/>
  <c r="E19" i="172" s="1" a="1"/>
  <c r="E19" i="172" s="1"/>
  <c r="I2" i="164"/>
  <c r="H2" i="164"/>
  <c r="F2" i="164"/>
  <c r="E2" i="164"/>
  <c r="D2" i="164"/>
  <c r="C2" i="164"/>
  <c r="B2" i="164"/>
  <c r="A2" i="164"/>
  <c r="B2" i="184" s="1"/>
  <c r="E19" i="181"/>
  <c r="E18" i="181"/>
  <c r="E17" i="181"/>
  <c r="E16" i="181"/>
  <c r="E15" i="181"/>
  <c r="E14" i="181"/>
  <c r="E13" i="181"/>
  <c r="E12" i="181"/>
  <c r="E11" i="181"/>
  <c r="E9" i="181"/>
  <c r="E20" i="184" l="1"/>
  <c r="F1" i="181"/>
  <c r="C19" i="139" s="1"/>
  <c r="E19" i="184"/>
  <c r="E17" i="184"/>
  <c r="E18" i="184"/>
  <c r="E29" i="172" a="1"/>
  <c r="E29" i="172" s="1"/>
  <c r="E18" i="172" a="1"/>
  <c r="E18" i="172" s="1"/>
  <c r="E16" i="172" a="1"/>
  <c r="E16" i="172" s="1"/>
  <c r="E51" i="172" a="1"/>
  <c r="E51" i="172" s="1"/>
  <c r="E39" i="172" a="1"/>
  <c r="E39" i="172" s="1"/>
  <c r="E31" i="172" a="1"/>
  <c r="E31" i="172" s="1"/>
  <c r="E30" i="172" a="1"/>
  <c r="E30" i="172" s="1"/>
  <c r="E27" i="172" a="1"/>
  <c r="E27" i="172" s="1"/>
  <c r="E136" i="172" a="1"/>
  <c r="E136" i="172" s="1"/>
  <c r="E108" i="172" a="1"/>
  <c r="E108" i="172" s="1"/>
  <c r="E107" i="172" a="1"/>
  <c r="E107" i="172" s="1"/>
  <c r="E106" i="172" a="1"/>
  <c r="E106" i="172" s="1"/>
  <c r="E70" i="172" a="1"/>
  <c r="E70" i="172" s="1"/>
  <c r="E69" i="172" a="1"/>
  <c r="E69" i="172" s="1"/>
  <c r="E137" i="172" a="1"/>
  <c r="E137" i="172" s="1"/>
  <c r="E68" i="172" a="1"/>
  <c r="E68" i="172" s="1"/>
  <c r="E138" i="172" a="1"/>
  <c r="E138" i="172" s="1"/>
  <c r="E67" i="172" a="1"/>
  <c r="E67" i="172" s="1"/>
  <c r="E135" i="172" a="1"/>
  <c r="E135" i="172" s="1"/>
  <c r="E64" i="172" a="1"/>
  <c r="E64" i="172" s="1"/>
  <c r="E94" i="172" a="1"/>
  <c r="E94" i="172" s="1"/>
  <c r="E154" i="172" a="1"/>
  <c r="E154" i="172" s="1"/>
  <c r="E153" i="172" a="1"/>
  <c r="E153" i="172" s="1"/>
  <c r="E123" i="172" a="1"/>
  <c r="E123" i="172" s="1"/>
  <c r="E92" i="172" a="1"/>
  <c r="E92" i="172" s="1"/>
  <c r="E55" i="172" a="1"/>
  <c r="E55" i="172" s="1"/>
  <c r="E17" i="172" a="1"/>
  <c r="E17" i="172" s="1"/>
  <c r="E97" i="172" a="1"/>
  <c r="E97" i="172" s="1"/>
  <c r="E126" i="172" a="1"/>
  <c r="E126" i="172" s="1"/>
  <c r="E155" i="172" a="1"/>
  <c r="E155" i="172" s="1"/>
  <c r="E56" i="172" a="1"/>
  <c r="E56" i="172" s="1"/>
  <c r="E150" i="172" a="1"/>
  <c r="E150" i="172" s="1"/>
  <c r="E120" i="172" a="1"/>
  <c r="E120" i="172" s="1"/>
  <c r="E82" i="172" a="1"/>
  <c r="E82" i="172" s="1"/>
  <c r="E149" i="172" a="1"/>
  <c r="E149" i="172" s="1"/>
  <c r="E112" i="172" a="1"/>
  <c r="E112" i="172" s="1"/>
  <c r="E81" i="172" a="1"/>
  <c r="E81" i="172" s="1"/>
  <c r="E44" i="172" a="1"/>
  <c r="E44" i="172" s="1"/>
  <c r="E98" i="172" a="1"/>
  <c r="E98" i="172" s="1"/>
  <c r="E127" i="172" a="1"/>
  <c r="E127" i="172" s="1"/>
  <c r="E65" i="172" a="1"/>
  <c r="E65" i="172" s="1"/>
  <c r="E96" i="172" a="1"/>
  <c r="E96" i="172" s="1"/>
  <c r="E125" i="172" a="1"/>
  <c r="E125" i="172" s="1"/>
  <c r="E124" i="172" a="1"/>
  <c r="E124" i="172" s="1"/>
  <c r="E93" i="172" a="1"/>
  <c r="E93" i="172" s="1"/>
  <c r="E152" i="172" a="1"/>
  <c r="E152" i="172" s="1"/>
  <c r="E84" i="172" a="1"/>
  <c r="E84" i="172" s="1"/>
  <c r="E53" i="172" a="1"/>
  <c r="E53" i="172" s="1"/>
  <c r="E151" i="172" a="1"/>
  <c r="E151" i="172" s="1"/>
  <c r="E121" i="172" a="1"/>
  <c r="E121" i="172" s="1"/>
  <c r="E52" i="172" a="1"/>
  <c r="E52" i="172" s="1"/>
  <c r="E141" i="172" a="1"/>
  <c r="E141" i="172" s="1"/>
  <c r="E111" i="172" a="1"/>
  <c r="E111" i="172" s="1"/>
  <c r="E43" i="172" a="1"/>
  <c r="E43" i="172" s="1"/>
  <c r="E140" i="172" a="1"/>
  <c r="E140" i="172" s="1"/>
  <c r="E110" i="172" a="1"/>
  <c r="E110" i="172" s="1"/>
  <c r="E79" i="172" a="1"/>
  <c r="E79" i="172" s="1"/>
  <c r="E42" i="172" a="1"/>
  <c r="E42" i="172" s="1"/>
  <c r="E122" i="172" a="1"/>
  <c r="E122" i="172" s="1"/>
  <c r="E83" i="172" a="1"/>
  <c r="E83" i="172" s="1"/>
  <c r="E139" i="172" a="1"/>
  <c r="E139" i="172" s="1"/>
  <c r="E109" i="172" a="1"/>
  <c r="E109" i="172" s="1"/>
  <c r="E78" i="172" a="1"/>
  <c r="E78" i="172" s="1"/>
  <c r="E41" i="172" a="1"/>
  <c r="E41" i="172" s="1"/>
  <c r="E95" i="172" a="1"/>
  <c r="E95" i="172" s="1"/>
  <c r="E80" i="172" a="1"/>
  <c r="E80" i="172" s="1"/>
  <c r="E66" i="172" a="1"/>
  <c r="E66" i="172" s="1"/>
  <c r="E54" i="172" a="1"/>
  <c r="E54" i="172" s="1"/>
  <c r="E40" i="172" a="1"/>
  <c r="E40" i="172" s="1"/>
  <c r="E28" i="172" a="1"/>
  <c r="E28" i="172" s="1"/>
  <c r="F28" i="184"/>
  <c r="F27" i="184"/>
  <c r="E26" i="172" a="1"/>
  <c r="E26" i="172" s="1"/>
  <c r="F26" i="184"/>
  <c r="E25" i="172" a="1"/>
  <c r="E25" i="172" s="1"/>
  <c r="F25" i="184"/>
  <c r="E148" i="172" a="1"/>
  <c r="E148" i="172" s="1"/>
  <c r="E134" i="172" a="1"/>
  <c r="E134" i="172" s="1"/>
  <c r="E105" i="172" a="1"/>
  <c r="E105" i="172" s="1"/>
  <c r="E91" i="172" a="1"/>
  <c r="E91" i="172" s="1"/>
  <c r="E77" i="172" a="1"/>
  <c r="E77" i="172" s="1"/>
  <c r="E63" i="172" a="1"/>
  <c r="E63" i="172" s="1"/>
  <c r="E50" i="172" a="1"/>
  <c r="E50" i="172" s="1"/>
  <c r="E38" i="172" a="1"/>
  <c r="E38" i="172" s="1"/>
  <c r="E24" i="172" a="1"/>
  <c r="E24" i="172" s="1"/>
  <c r="E28" i="184"/>
  <c r="F24" i="184"/>
  <c r="E147" i="172" a="1"/>
  <c r="E147" i="172" s="1"/>
  <c r="E133" i="172" a="1"/>
  <c r="E133" i="172" s="1"/>
  <c r="E119" i="172" a="1"/>
  <c r="E119" i="172" s="1"/>
  <c r="E104" i="172" a="1"/>
  <c r="E104" i="172" s="1"/>
  <c r="E90" i="172" a="1"/>
  <c r="E90" i="172" s="1"/>
  <c r="E76" i="172" a="1"/>
  <c r="E76" i="172" s="1"/>
  <c r="E49" i="172" a="1"/>
  <c r="E49" i="172" s="1"/>
  <c r="E37" i="172" a="1"/>
  <c r="E37" i="172" s="1"/>
  <c r="E27" i="184"/>
  <c r="F23" i="184"/>
  <c r="E146" i="172" a="1"/>
  <c r="E146" i="172" s="1"/>
  <c r="E132" i="172" a="1"/>
  <c r="E132" i="172" s="1"/>
  <c r="E118" i="172" a="1"/>
  <c r="E118" i="172" s="1"/>
  <c r="E89" i="172" a="1"/>
  <c r="E89" i="172" s="1"/>
  <c r="E75" i="172" a="1"/>
  <c r="E75" i="172" s="1"/>
  <c r="E62" i="172" a="1"/>
  <c r="E62" i="172" s="1"/>
  <c r="E48" i="172" a="1"/>
  <c r="E48" i="172" s="1"/>
  <c r="E36" i="172" a="1"/>
  <c r="E36" i="172" s="1"/>
  <c r="E23" i="172" a="1"/>
  <c r="E23" i="172" s="1"/>
  <c r="E26" i="184"/>
  <c r="F22" i="184"/>
  <c r="E145" i="172" a="1"/>
  <c r="E145" i="172" s="1"/>
  <c r="E131" i="172" a="1"/>
  <c r="E131" i="172" s="1"/>
  <c r="E117" i="172" a="1"/>
  <c r="E117" i="172" s="1"/>
  <c r="E103" i="172" a="1"/>
  <c r="E103" i="172" s="1"/>
  <c r="E88" i="172" a="1"/>
  <c r="E88" i="172" s="1"/>
  <c r="E74" i="172" a="1"/>
  <c r="E74" i="172" s="1"/>
  <c r="E61" i="172" a="1"/>
  <c r="E61" i="172" s="1"/>
  <c r="E35" i="172" a="1"/>
  <c r="E35" i="172" s="1"/>
  <c r="E25" i="184"/>
  <c r="F21" i="184"/>
  <c r="B2" i="181"/>
  <c r="B2" i="90"/>
  <c r="E144" i="172" a="1"/>
  <c r="E144" i="172" s="1"/>
  <c r="E130" i="172" a="1"/>
  <c r="E130" i="172" s="1"/>
  <c r="E116" i="172" a="1"/>
  <c r="E116" i="172" s="1"/>
  <c r="E102" i="172" a="1"/>
  <c r="E102" i="172" s="1"/>
  <c r="E73" i="172" a="1"/>
  <c r="E73" i="172" s="1"/>
  <c r="E60" i="172" a="1"/>
  <c r="E60" i="172" s="1"/>
  <c r="E47" i="172" a="1"/>
  <c r="E47" i="172" s="1"/>
  <c r="E34" i="172" a="1"/>
  <c r="E34" i="172" s="1"/>
  <c r="E22" i="172" a="1"/>
  <c r="E22" i="172" s="1"/>
  <c r="E24" i="184"/>
  <c r="F20" i="184"/>
  <c r="B2" i="182"/>
  <c r="E129" i="172" a="1"/>
  <c r="E129" i="172" s="1"/>
  <c r="E115" i="172" a="1"/>
  <c r="E115" i="172" s="1"/>
  <c r="E101" i="172" a="1"/>
  <c r="E101" i="172" s="1"/>
  <c r="E87" i="172" a="1"/>
  <c r="E87" i="172" s="1"/>
  <c r="E72" i="172" a="1"/>
  <c r="E72" i="172" s="1"/>
  <c r="E59" i="172" a="1"/>
  <c r="E59" i="172" s="1"/>
  <c r="E33" i="172" a="1"/>
  <c r="E33" i="172" s="1"/>
  <c r="E21" i="172" a="1"/>
  <c r="E21" i="172" s="1"/>
  <c r="E23" i="184"/>
  <c r="F19" i="184"/>
  <c r="E143" i="172" a="1"/>
  <c r="E143" i="172" s="1"/>
  <c r="E128" i="172" a="1"/>
  <c r="E128" i="172" s="1"/>
  <c r="E114" i="172" a="1"/>
  <c r="E114" i="172" s="1"/>
  <c r="E100" i="172" a="1"/>
  <c r="E100" i="172" s="1"/>
  <c r="E86" i="172" a="1"/>
  <c r="E86" i="172" s="1"/>
  <c r="E58" i="172" a="1"/>
  <c r="E58" i="172" s="1"/>
  <c r="E46" i="172" a="1"/>
  <c r="E46" i="172" s="1"/>
  <c r="E32" i="172" a="1"/>
  <c r="E32" i="172" s="1"/>
  <c r="E20" i="172" a="1"/>
  <c r="E20" i="172" s="1"/>
  <c r="E22" i="184"/>
  <c r="F18" i="184"/>
  <c r="E142" i="172" a="1"/>
  <c r="E142" i="172" s="1"/>
  <c r="E113" i="172" a="1"/>
  <c r="E113" i="172" s="1"/>
  <c r="E99" i="172" a="1"/>
  <c r="E99" i="172" s="1"/>
  <c r="E85" i="172" a="1"/>
  <c r="E85" i="172" s="1"/>
  <c r="E71" i="172" a="1"/>
  <c r="E71" i="172" s="1"/>
  <c r="E57" i="172" a="1"/>
  <c r="E57" i="172" s="1"/>
  <c r="E45" i="172" a="1"/>
  <c r="E45" i="172" s="1"/>
  <c r="E21" i="184"/>
  <c r="F17" i="184"/>
  <c r="I1" i="184"/>
  <c r="C23" i="139" s="1"/>
  <c r="F37" i="182"/>
  <c r="F35" i="182"/>
  <c r="E37" i="182"/>
  <c r="E35" i="182"/>
  <c r="F36" i="182"/>
  <c r="E36" i="182"/>
  <c r="F34" i="182"/>
  <c r="E34" i="182"/>
  <c r="F33" i="182"/>
  <c r="E33" i="182"/>
  <c r="F32" i="182"/>
  <c r="E32" i="182"/>
  <c r="F31" i="182"/>
  <c r="E31" i="182"/>
  <c r="F30" i="182"/>
  <c r="E30" i="182"/>
  <c r="F29" i="182"/>
  <c r="E29" i="182"/>
  <c r="F28" i="182"/>
  <c r="E28" i="182"/>
  <c r="E38" i="182"/>
  <c r="F27" i="182"/>
  <c r="E27" i="182"/>
  <c r="E20" i="182"/>
  <c r="F26" i="182"/>
  <c r="E26" i="182"/>
  <c r="E19" i="182"/>
  <c r="F25" i="182"/>
  <c r="E25" i="182"/>
  <c r="F24" i="182"/>
  <c r="E24" i="182"/>
  <c r="F23" i="182"/>
  <c r="E23" i="182"/>
  <c r="F22" i="182"/>
  <c r="E22" i="182"/>
  <c r="E40" i="182"/>
  <c r="E39" i="182"/>
  <c r="E21" i="182"/>
  <c r="E18" i="182"/>
  <c r="F40" i="182"/>
  <c r="F39" i="182"/>
  <c r="F38" i="182"/>
  <c r="F21" i="182"/>
  <c r="F20" i="182"/>
  <c r="F19" i="182"/>
  <c r="F18" i="182"/>
  <c r="I1" i="182"/>
  <c r="C22" i="139" s="1"/>
  <c r="F12" i="175"/>
  <c r="F13" i="175"/>
  <c r="F14" i="175"/>
  <c r="F15" i="175"/>
  <c r="H14" i="174"/>
  <c r="F14" i="174" s="1"/>
  <c r="H15" i="174"/>
  <c r="F15" i="174" s="1"/>
  <c r="H16" i="174"/>
  <c r="F16" i="174" s="1"/>
  <c r="E42" i="182" l="1"/>
  <c r="D11" i="90" s="1"/>
  <c r="C12" i="164" s="1"/>
  <c r="F30" i="184"/>
  <c r="D17" i="90" s="1"/>
  <c r="H12" i="164" s="1"/>
  <c r="E30" i="184"/>
  <c r="D12" i="90" s="1"/>
  <c r="D12" i="164" s="1"/>
  <c r="F42" i="182"/>
  <c r="D16" i="90" s="1"/>
  <c r="G12" i="164" s="1"/>
  <c r="E157" i="172"/>
  <c r="D15" i="90" s="1"/>
  <c r="F12" i="164" s="1"/>
  <c r="H11" i="174"/>
  <c r="F11" i="174" s="1"/>
  <c r="H12" i="174"/>
  <c r="F12" i="174" s="1"/>
  <c r="H13" i="174"/>
  <c r="F13" i="174" s="1"/>
  <c r="H17" i="174"/>
  <c r="F17" i="174" s="1"/>
  <c r="H18" i="174"/>
  <c r="F18" i="174" s="1"/>
  <c r="H19" i="174"/>
  <c r="F19" i="174" s="1"/>
  <c r="G9" i="89" l="1"/>
  <c r="G10" i="89"/>
  <c r="E10" i="89" s="1"/>
  <c r="D14" i="90" s="1"/>
  <c r="D18" i="90" l="1"/>
  <c r="E12" i="164"/>
  <c r="I1" i="89"/>
  <c r="C20" i="139" s="1"/>
  <c r="E9" i="89"/>
  <c r="D10" i="90" s="1"/>
  <c r="F13" i="177"/>
  <c r="F12" i="177"/>
  <c r="F11" i="177"/>
  <c r="F10" i="177"/>
  <c r="F9" i="177"/>
  <c r="A6" i="177"/>
  <c r="B4" i="177"/>
  <c r="F13" i="176"/>
  <c r="F12" i="176"/>
  <c r="F11" i="176"/>
  <c r="F10" i="176"/>
  <c r="F9" i="176"/>
  <c r="A6" i="176"/>
  <c r="B4" i="176"/>
  <c r="F11" i="175"/>
  <c r="A4" i="175"/>
  <c r="H22" i="174"/>
  <c r="F22" i="174" s="1"/>
  <c r="H21" i="174"/>
  <c r="F21" i="174" s="1"/>
  <c r="H20" i="174"/>
  <c r="F20" i="174" s="1"/>
  <c r="H10" i="174"/>
  <c r="F10" i="174" s="1"/>
  <c r="H9" i="174"/>
  <c r="A4" i="174"/>
  <c r="F15" i="173"/>
  <c r="J1" i="173" s="1"/>
  <c r="A4" i="173"/>
  <c r="A6" i="172"/>
  <c r="A4" i="172"/>
  <c r="D13" i="90" l="1"/>
  <c r="B12" i="164"/>
  <c r="G1" i="175"/>
  <c r="C26" i="139" s="1"/>
  <c r="I1" i="172"/>
  <c r="C21" i="139" s="1"/>
  <c r="D15" i="177"/>
  <c r="G1" i="176"/>
  <c r="D15" i="176"/>
  <c r="J1" i="174"/>
  <c r="C24" i="139" s="1"/>
  <c r="F9" i="174"/>
  <c r="F24" i="174" s="1"/>
  <c r="D19" i="90" s="1"/>
  <c r="I12" i="164" s="1"/>
  <c r="G1" i="177"/>
  <c r="C25" i="139"/>
  <c r="C15" i="1" l="1"/>
  <c r="E154" i="145" l="1"/>
  <c r="F152" i="145"/>
  <c r="E152" i="145"/>
  <c r="F151" i="145"/>
  <c r="E151" i="145"/>
  <c r="F150" i="145"/>
  <c r="E150" i="145"/>
  <c r="F149" i="145"/>
  <c r="E149" i="145"/>
  <c r="F148" i="145"/>
  <c r="E148" i="145"/>
  <c r="F147" i="145"/>
  <c r="E147" i="145"/>
  <c r="F146" i="145"/>
  <c r="E146" i="145"/>
  <c r="F145" i="145"/>
  <c r="E145" i="145"/>
  <c r="F144" i="145"/>
  <c r="E144" i="145"/>
  <c r="F143" i="145"/>
  <c r="E143" i="145"/>
  <c r="I44" i="130" l="1"/>
  <c r="J44" i="130" s="1"/>
  <c r="I45" i="130"/>
  <c r="J45" i="130" s="1"/>
  <c r="I46" i="130"/>
  <c r="J46" i="130" s="1"/>
  <c r="I47" i="130"/>
  <c r="J47" i="130" s="1"/>
  <c r="I35" i="130"/>
  <c r="B34" i="145"/>
  <c r="I26" i="130" l="1"/>
  <c r="J26" i="130" s="1"/>
  <c r="I27" i="130"/>
  <c r="I28" i="130"/>
  <c r="I29" i="130"/>
  <c r="I30" i="130"/>
  <c r="I31" i="130"/>
  <c r="I32" i="130"/>
  <c r="I33" i="130"/>
  <c r="I34" i="130"/>
  <c r="B6" i="135"/>
  <c r="B6" i="136"/>
  <c r="B6" i="130"/>
  <c r="B6" i="131"/>
  <c r="B6" i="132"/>
  <c r="B6" i="133"/>
  <c r="B6" i="128"/>
  <c r="B6" i="125"/>
  <c r="E3" i="104" a="1"/>
  <c r="E3" i="104" s="1"/>
  <c r="E4" i="104" a="1"/>
  <c r="E4" i="104" s="1"/>
  <c r="E5" i="104" a="1"/>
  <c r="E5" i="104" s="1"/>
  <c r="E6" i="104" a="1"/>
  <c r="E6" i="104" s="1"/>
  <c r="E2" i="104" a="1"/>
  <c r="E2" i="104" s="1"/>
  <c r="B2" i="176" l="1"/>
  <c r="B2" i="177"/>
  <c r="B2" i="174"/>
  <c r="B2" i="175"/>
  <c r="B2" i="172"/>
  <c r="B2" i="173"/>
  <c r="DN3" i="32" a="1"/>
  <c r="DN3" i="32" s="1"/>
  <c r="DO3" i="32" a="1"/>
  <c r="DO3" i="32" s="1"/>
  <c r="DP3" i="32" a="1"/>
  <c r="DP3" i="32" s="1"/>
  <c r="DN4" i="32" a="1"/>
  <c r="DN4" i="32" s="1"/>
  <c r="DO4" i="32" a="1"/>
  <c r="DO4" i="32" s="1"/>
  <c r="DP4" i="32" a="1"/>
  <c r="DP4" i="32" s="1"/>
  <c r="DN5" i="32" a="1"/>
  <c r="DN5" i="32" s="1"/>
  <c r="DO5" i="32" a="1"/>
  <c r="DO5" i="32" s="1"/>
  <c r="DP5" i="32" a="1"/>
  <c r="DP5" i="32" s="1"/>
  <c r="DN6" i="32" a="1"/>
  <c r="DN6" i="32" s="1"/>
  <c r="DO6" i="32" a="1"/>
  <c r="DO6" i="32" s="1"/>
  <c r="DP6" i="32" a="1"/>
  <c r="DP6" i="32" s="1"/>
  <c r="DN7" i="32" a="1"/>
  <c r="DN7" i="32" s="1"/>
  <c r="DO7" i="32" a="1"/>
  <c r="DO7" i="32" s="1"/>
  <c r="DP7" i="32" a="1"/>
  <c r="DP7" i="32" s="1"/>
  <c r="DP2" i="32" a="1"/>
  <c r="DP2" i="32" s="1"/>
  <c r="DO2" i="32" a="1"/>
  <c r="DO2" i="32" s="1"/>
  <c r="DN2" i="32" a="1"/>
  <c r="DN2" i="32" s="1"/>
  <c r="EY3" i="32"/>
  <c r="EY4" i="32"/>
  <c r="EY5" i="32"/>
  <c r="EY6" i="32"/>
  <c r="EY7" i="32"/>
  <c r="EY2" i="32"/>
  <c r="ET3" i="32"/>
  <c r="ET4" i="32"/>
  <c r="ET5" i="32"/>
  <c r="ET6" i="32"/>
  <c r="ET7" i="32"/>
  <c r="ET2" i="32"/>
  <c r="EN3" i="32"/>
  <c r="EN4" i="32"/>
  <c r="EN5" i="32"/>
  <c r="EN6" i="32"/>
  <c r="EN7" i="32"/>
  <c r="EN2" i="32"/>
  <c r="DQ3" i="32"/>
  <c r="DQ4" i="32"/>
  <c r="DQ5" i="32"/>
  <c r="DQ6" i="32"/>
  <c r="DQ7" i="32"/>
  <c r="DQ2" i="32"/>
  <c r="F9" i="164"/>
  <c r="E9" i="164"/>
  <c r="D9" i="164"/>
  <c r="C9" i="164"/>
  <c r="B9" i="164"/>
  <c r="A9" i="164"/>
  <c r="K25" i="1" l="1"/>
  <c r="A6" i="68"/>
  <c r="B6" i="68" s="1"/>
  <c r="A7" i="68"/>
  <c r="B7" i="68" s="1"/>
  <c r="A8" i="68"/>
  <c r="B8" i="68" s="1"/>
  <c r="A9" i="68"/>
  <c r="B9" i="68" s="1"/>
  <c r="A10" i="68"/>
  <c r="B10" i="68" s="1"/>
  <c r="A11" i="68"/>
  <c r="B11" i="68" s="1"/>
  <c r="A12" i="68"/>
  <c r="B12" i="68" s="1"/>
  <c r="A13" i="68"/>
  <c r="B13" i="68" s="1"/>
  <c r="A14" i="68"/>
  <c r="B14" i="68" s="1"/>
  <c r="A5" i="68"/>
  <c r="B6" i="176" l="1" a="1"/>
  <c r="B6" i="176" s="1"/>
  <c r="B6" i="177" a="1"/>
  <c r="B6" i="177" s="1"/>
  <c r="A15" i="68"/>
  <c r="I119" i="1"/>
  <c r="B119" i="1" s="1"/>
  <c r="I113" i="1"/>
  <c r="B113" i="1" s="1"/>
  <c r="I106" i="1"/>
  <c r="B106" i="1" s="1"/>
  <c r="D119" i="1"/>
  <c r="D113" i="1"/>
  <c r="D106" i="1"/>
  <c r="C46" i="171"/>
  <c r="G46" i="171" s="1" a="1"/>
  <c r="G46" i="171" s="1"/>
  <c r="C47" i="171"/>
  <c r="G47" i="171" s="1" a="1"/>
  <c r="G47" i="171" s="1"/>
  <c r="C48" i="171"/>
  <c r="E48" i="171" s="1" a="1"/>
  <c r="E48" i="171" s="1"/>
  <c r="C49" i="171"/>
  <c r="F49" i="171" s="1" a="1"/>
  <c r="F49" i="171" s="1"/>
  <c r="C50" i="171"/>
  <c r="G50" i="171" s="1" a="1"/>
  <c r="G50" i="171" s="1"/>
  <c r="C51" i="171"/>
  <c r="G51" i="171" s="1" a="1"/>
  <c r="G51" i="171" s="1"/>
  <c r="C52" i="171"/>
  <c r="E52" i="171" s="1" a="1"/>
  <c r="E52" i="171" s="1"/>
  <c r="C53" i="171"/>
  <c r="F53" i="171" s="1" a="1"/>
  <c r="F53" i="171" s="1"/>
  <c r="C54" i="171"/>
  <c r="G54" i="171" s="1" a="1"/>
  <c r="G54" i="171" s="1"/>
  <c r="C55" i="171"/>
  <c r="G55" i="171" s="1" a="1"/>
  <c r="G55" i="171" s="1"/>
  <c r="C56" i="171"/>
  <c r="E56" i="171" s="1" a="1"/>
  <c r="E56" i="171" s="1"/>
  <c r="C57" i="171"/>
  <c r="F57" i="171" s="1" a="1"/>
  <c r="F57" i="171" s="1"/>
  <c r="C58" i="171"/>
  <c r="G58" i="171" s="1" a="1"/>
  <c r="G58" i="171" s="1"/>
  <c r="C59" i="171"/>
  <c r="G59" i="171" s="1" a="1"/>
  <c r="G59" i="171" s="1"/>
  <c r="C60" i="171"/>
  <c r="E60" i="171" s="1" a="1"/>
  <c r="E60" i="171" s="1"/>
  <c r="C61" i="171"/>
  <c r="F61" i="171" s="1" a="1"/>
  <c r="F61" i="171" s="1"/>
  <c r="C42" i="171"/>
  <c r="G42" i="171" s="1" a="1"/>
  <c r="G42" i="171" s="1"/>
  <c r="C43" i="171"/>
  <c r="G43" i="171" s="1" a="1"/>
  <c r="G43" i="171" s="1"/>
  <c r="C44" i="171"/>
  <c r="E44" i="171" s="1" a="1"/>
  <c r="E44" i="171" s="1"/>
  <c r="C45" i="171"/>
  <c r="F45" i="171" s="1" a="1"/>
  <c r="F45" i="171" s="1"/>
  <c r="C32" i="171"/>
  <c r="E32" i="171" s="1" a="1"/>
  <c r="E32" i="171" s="1"/>
  <c r="C33" i="171"/>
  <c r="G33" i="171" s="1" a="1"/>
  <c r="G33" i="171" s="1"/>
  <c r="C34" i="171"/>
  <c r="G34" i="171" s="1" a="1"/>
  <c r="G34" i="171" s="1"/>
  <c r="C35" i="171"/>
  <c r="G35" i="171" s="1" a="1"/>
  <c r="G35" i="171" s="1"/>
  <c r="C36" i="171"/>
  <c r="E36" i="171" s="1" a="1"/>
  <c r="E36" i="171" s="1"/>
  <c r="C37" i="171"/>
  <c r="F37" i="171" s="1" a="1"/>
  <c r="F37" i="171" s="1"/>
  <c r="C38" i="171"/>
  <c r="G38" i="171" s="1" a="1"/>
  <c r="G38" i="171" s="1"/>
  <c r="C39" i="171"/>
  <c r="G39" i="171" s="1" a="1"/>
  <c r="G39" i="171" s="1"/>
  <c r="C40" i="171"/>
  <c r="E40" i="171" s="1" a="1"/>
  <c r="E40" i="171" s="1"/>
  <c r="C41" i="171"/>
  <c r="F41" i="171" s="1" a="1"/>
  <c r="F41" i="171" s="1"/>
  <c r="C22" i="171"/>
  <c r="C23" i="171"/>
  <c r="C24" i="171"/>
  <c r="C25" i="171"/>
  <c r="C26" i="171"/>
  <c r="C27" i="171"/>
  <c r="C28" i="171"/>
  <c r="C29" i="171"/>
  <c r="C30" i="171"/>
  <c r="C31" i="171"/>
  <c r="C17" i="171"/>
  <c r="C18" i="171"/>
  <c r="C19" i="171"/>
  <c r="C20" i="171"/>
  <c r="C21" i="171"/>
  <c r="C13" i="171"/>
  <c r="C14" i="171"/>
  <c r="C15" i="171"/>
  <c r="C16" i="171"/>
  <c r="C3" i="171"/>
  <c r="C4" i="171"/>
  <c r="C5" i="171"/>
  <c r="C6" i="171"/>
  <c r="C7" i="171"/>
  <c r="C8" i="171"/>
  <c r="C9" i="171"/>
  <c r="C10" i="171"/>
  <c r="C11" i="171"/>
  <c r="C12" i="171"/>
  <c r="C2" i="171"/>
  <c r="GX3" i="32" a="1"/>
  <c r="GX3" i="32" s="1"/>
  <c r="GY3" i="32" a="1"/>
  <c r="GY3" i="32" s="1"/>
  <c r="GX4" i="32" a="1"/>
  <c r="GX4" i="32" s="1"/>
  <c r="GY4" i="32" a="1"/>
  <c r="GY4" i="32" s="1"/>
  <c r="GX5" i="32" a="1"/>
  <c r="GX5" i="32" s="1"/>
  <c r="GY5" i="32" a="1"/>
  <c r="GY5" i="32" s="1"/>
  <c r="GX6" i="32" a="1"/>
  <c r="GX6" i="32" s="1"/>
  <c r="GY6" i="32" a="1"/>
  <c r="GY6" i="32" s="1"/>
  <c r="GX7" i="32" a="1"/>
  <c r="GX7" i="32" s="1"/>
  <c r="GY7" i="32" a="1"/>
  <c r="GY7" i="32" s="1"/>
  <c r="GY2" i="32" a="1"/>
  <c r="GY2" i="32" s="1"/>
  <c r="GX2" i="32" a="1"/>
  <c r="GX2" i="32" s="1"/>
  <c r="GU2" i="32" a="1"/>
  <c r="GU2" i="32" s="1"/>
  <c r="GV2" i="32" a="1"/>
  <c r="GV2" i="32" s="1"/>
  <c r="E12" i="171" l="1" a="1"/>
  <c r="E12" i="171" s="1"/>
  <c r="G22" i="171" a="1"/>
  <c r="G22" i="171" s="1"/>
  <c r="G12" i="171" a="1"/>
  <c r="G12" i="171" s="1"/>
  <c r="G32" i="171" a="1"/>
  <c r="G32" i="171" s="1"/>
  <c r="G36" i="171" a="1"/>
  <c r="G36" i="171" s="1"/>
  <c r="G40" i="171" a="1"/>
  <c r="G40" i="171" s="1"/>
  <c r="G44" i="171" a="1"/>
  <c r="G44" i="171" s="1"/>
  <c r="G48" i="171" a="1"/>
  <c r="G48" i="171" s="1"/>
  <c r="G52" i="171" a="1"/>
  <c r="G52" i="171" s="1"/>
  <c r="G56" i="171" a="1"/>
  <c r="G56" i="171" s="1"/>
  <c r="G60" i="171" a="1"/>
  <c r="G60" i="171" s="1"/>
  <c r="G37" i="171" a="1"/>
  <c r="G37" i="171" s="1"/>
  <c r="G41" i="171" a="1"/>
  <c r="G41" i="171" s="1"/>
  <c r="G45" i="171" a="1"/>
  <c r="G45" i="171" s="1"/>
  <c r="G49" i="171" a="1"/>
  <c r="G49" i="171" s="1"/>
  <c r="G53" i="171" a="1"/>
  <c r="G53" i="171" s="1"/>
  <c r="G57" i="171" a="1"/>
  <c r="G57" i="171" s="1"/>
  <c r="G61" i="171" a="1"/>
  <c r="G61" i="171" s="1"/>
  <c r="F33" i="171" a="1"/>
  <c r="F33" i="171" s="1"/>
  <c r="E39" i="171" a="1"/>
  <c r="E39" i="171" s="1"/>
  <c r="E55" i="171" a="1"/>
  <c r="E55" i="171" s="1"/>
  <c r="E35" i="171" a="1"/>
  <c r="E35" i="171" s="1"/>
  <c r="F40" i="171" a="1"/>
  <c r="F40" i="171" s="1"/>
  <c r="F32" i="171" a="1"/>
  <c r="F32" i="171" s="1"/>
  <c r="F36" i="171" a="1"/>
  <c r="F36" i="171" s="1"/>
  <c r="E51" i="171" a="1"/>
  <c r="E51" i="171" s="1"/>
  <c r="E59" i="171" a="1"/>
  <c r="E59" i="171" s="1"/>
  <c r="E43" i="171" a="1"/>
  <c r="E43" i="171" s="1"/>
  <c r="E22" i="171" a="1"/>
  <c r="E22" i="171" s="1"/>
  <c r="E34" i="171" a="1"/>
  <c r="E34" i="171" s="1"/>
  <c r="F35" i="171" a="1"/>
  <c r="F35" i="171" s="1"/>
  <c r="E38" i="171" a="1"/>
  <c r="E38" i="171" s="1"/>
  <c r="F39" i="171" a="1"/>
  <c r="F39" i="171" s="1"/>
  <c r="E42" i="171" a="1"/>
  <c r="E42" i="171" s="1"/>
  <c r="F43" i="171" a="1"/>
  <c r="F43" i="171" s="1"/>
  <c r="E46" i="171" a="1"/>
  <c r="E46" i="171" s="1"/>
  <c r="F47" i="171" a="1"/>
  <c r="F47" i="171" s="1"/>
  <c r="E50" i="171" a="1"/>
  <c r="E50" i="171" s="1"/>
  <c r="F51" i="171" a="1"/>
  <c r="F51" i="171" s="1"/>
  <c r="E54" i="171" a="1"/>
  <c r="E54" i="171" s="1"/>
  <c r="F55" i="171" a="1"/>
  <c r="F55" i="171" s="1"/>
  <c r="E58" i="171" a="1"/>
  <c r="E58" i="171" s="1"/>
  <c r="F59" i="171" a="1"/>
  <c r="F59" i="171" s="1"/>
  <c r="F44" i="171" a="1"/>
  <c r="F44" i="171" s="1"/>
  <c r="E47" i="171" a="1"/>
  <c r="E47" i="171" s="1"/>
  <c r="F22" i="171" a="1"/>
  <c r="F22" i="171" s="1"/>
  <c r="E33" i="171" a="1"/>
  <c r="E33" i="171" s="1"/>
  <c r="F34" i="171" a="1"/>
  <c r="F34" i="171" s="1"/>
  <c r="E37" i="171" a="1"/>
  <c r="E37" i="171" s="1"/>
  <c r="F38" i="171" a="1"/>
  <c r="F38" i="171" s="1"/>
  <c r="E41" i="171" a="1"/>
  <c r="E41" i="171" s="1"/>
  <c r="F42" i="171" a="1"/>
  <c r="F42" i="171" s="1"/>
  <c r="E45" i="171" a="1"/>
  <c r="E45" i="171" s="1"/>
  <c r="F46" i="171" a="1"/>
  <c r="F46" i="171" s="1"/>
  <c r="E49" i="171" a="1"/>
  <c r="E49" i="171" s="1"/>
  <c r="F50" i="171" a="1"/>
  <c r="F50" i="171" s="1"/>
  <c r="E53" i="171" a="1"/>
  <c r="E53" i="171" s="1"/>
  <c r="F54" i="171" a="1"/>
  <c r="F54" i="171" s="1"/>
  <c r="E57" i="171" a="1"/>
  <c r="E57" i="171" s="1"/>
  <c r="F58" i="171" a="1"/>
  <c r="F58" i="171" s="1"/>
  <c r="E61" i="171" a="1"/>
  <c r="E61" i="171" s="1"/>
  <c r="F12" i="171" a="1"/>
  <c r="F12" i="171" s="1"/>
  <c r="F48" i="171" a="1"/>
  <c r="F48" i="171" s="1"/>
  <c r="F52" i="171" a="1"/>
  <c r="F52" i="171" s="1"/>
  <c r="F56" i="171" a="1"/>
  <c r="F56" i="171" s="1"/>
  <c r="F60" i="171" a="1"/>
  <c r="F60" i="171" s="1"/>
  <c r="GW2" i="32"/>
  <c r="GZ5" i="32"/>
  <c r="GZ4" i="32"/>
  <c r="GZ6" i="32"/>
  <c r="GZ7" i="32"/>
  <c r="GZ3" i="32"/>
  <c r="GZ2" i="32"/>
  <c r="HE3" i="32" l="1" a="1"/>
  <c r="HE3" i="32" s="1"/>
  <c r="HE4" i="32" a="1"/>
  <c r="HE4" i="32" s="1"/>
  <c r="HE5" i="32" a="1"/>
  <c r="HE5" i="32" s="1"/>
  <c r="HE6" i="32" a="1"/>
  <c r="HE6" i="32" s="1"/>
  <c r="HE7" i="32" a="1"/>
  <c r="HE7" i="32" s="1"/>
  <c r="HE2" i="32" a="1"/>
  <c r="HE2" i="32" s="1"/>
  <c r="GT3" i="32" a="1"/>
  <c r="GT3" i="32" s="1"/>
  <c r="GT4" i="32" a="1"/>
  <c r="GT4" i="32" s="1"/>
  <c r="GT5" i="32" a="1"/>
  <c r="GT5" i="32" s="1"/>
  <c r="GT6" i="32" a="1"/>
  <c r="GT6" i="32" s="1"/>
  <c r="GT7" i="32" a="1"/>
  <c r="GT7" i="32" s="1"/>
  <c r="GT2" i="32" a="1"/>
  <c r="GT2" i="32" s="1"/>
  <c r="GP3" i="32" a="1"/>
  <c r="GP3" i="32" s="1"/>
  <c r="GP4" i="32" a="1"/>
  <c r="GP4" i="32" s="1"/>
  <c r="GP5" i="32" a="1"/>
  <c r="GP5" i="32" s="1"/>
  <c r="GP6" i="32" a="1"/>
  <c r="GP6" i="32" s="1"/>
  <c r="GP7" i="32" a="1"/>
  <c r="GP7" i="32" s="1"/>
  <c r="GP2" i="32" a="1"/>
  <c r="GP2" i="32" s="1"/>
  <c r="A17" i="67"/>
  <c r="I95" i="1"/>
  <c r="B16" i="145"/>
  <c r="B14" i="145"/>
  <c r="B12" i="145"/>
  <c r="B10" i="145"/>
  <c r="B8" i="145"/>
  <c r="A6" i="89"/>
  <c r="AQ14" i="164"/>
  <c r="AR14" i="164"/>
  <c r="AS14" i="164"/>
  <c r="AT14" i="164"/>
  <c r="AU14" i="164"/>
  <c r="AV14" i="164"/>
  <c r="AW14" i="164"/>
  <c r="AX14" i="164"/>
  <c r="AY14" i="164"/>
  <c r="AP14" i="164"/>
  <c r="AG14" i="164"/>
  <c r="AH14" i="164"/>
  <c r="AI14" i="164"/>
  <c r="AJ14" i="164"/>
  <c r="AK14" i="164"/>
  <c r="AL14" i="164"/>
  <c r="AM14" i="164"/>
  <c r="AN14" i="164"/>
  <c r="AO14" i="164"/>
  <c r="AF14" i="164"/>
  <c r="W14" i="164"/>
  <c r="X14" i="164"/>
  <c r="Y14" i="164"/>
  <c r="Z14" i="164"/>
  <c r="AA14" i="164"/>
  <c r="AB14" i="164"/>
  <c r="AC14" i="164"/>
  <c r="AD14" i="164"/>
  <c r="AE14" i="164"/>
  <c r="V14" i="164"/>
  <c r="M14" i="164"/>
  <c r="N14" i="164"/>
  <c r="O14" i="164"/>
  <c r="P14" i="164"/>
  <c r="Q14" i="164"/>
  <c r="R14" i="164"/>
  <c r="S14" i="164"/>
  <c r="T14" i="164"/>
  <c r="U14" i="164"/>
  <c r="L14" i="164"/>
  <c r="C14" i="164"/>
  <c r="D14" i="164"/>
  <c r="E14" i="164"/>
  <c r="F14" i="164"/>
  <c r="G14" i="164"/>
  <c r="H14" i="164"/>
  <c r="I14" i="164"/>
  <c r="J14" i="164"/>
  <c r="K14" i="164"/>
  <c r="B14" i="164"/>
  <c r="H8" i="90"/>
  <c r="I8" i="90"/>
  <c r="G10" i="90" s="1"/>
  <c r="G8" i="90" l="1"/>
  <c r="G19" i="90"/>
  <c r="G21" i="90"/>
  <c r="G9" i="90"/>
  <c r="G14" i="90"/>
  <c r="K40" i="1" l="1"/>
  <c r="E15" i="68"/>
  <c r="A3" i="68"/>
  <c r="N5" i="163"/>
  <c r="N6" i="163"/>
  <c r="H6" i="163" s="1"/>
  <c r="N7" i="163"/>
  <c r="H7" i="163" s="1"/>
  <c r="N8" i="163"/>
  <c r="H8" i="163" s="1"/>
  <c r="N9" i="163"/>
  <c r="H9" i="163" s="1"/>
  <c r="N10" i="163"/>
  <c r="H10" i="163" s="1"/>
  <c r="N11" i="163"/>
  <c r="H11" i="163" s="1"/>
  <c r="N12" i="163"/>
  <c r="H12" i="163" s="1"/>
  <c r="N13" i="163"/>
  <c r="H13" i="163" s="1"/>
  <c r="N14" i="163"/>
  <c r="H14" i="163" s="1"/>
  <c r="N15" i="163"/>
  <c r="H15" i="163" s="1"/>
  <c r="N16" i="163"/>
  <c r="N17" i="163"/>
  <c r="H17" i="163" s="1"/>
  <c r="N18" i="163"/>
  <c r="H18" i="163" s="1"/>
  <c r="N19" i="163"/>
  <c r="H19" i="163" s="1"/>
  <c r="N20" i="163"/>
  <c r="H20" i="163" s="1"/>
  <c r="N21" i="163"/>
  <c r="H21" i="163" s="1"/>
  <c r="N22" i="163"/>
  <c r="H22" i="163" s="1"/>
  <c r="N23" i="163"/>
  <c r="H23" i="163" s="1"/>
  <c r="N24" i="163"/>
  <c r="H24" i="163" s="1"/>
  <c r="N25" i="163"/>
  <c r="H25" i="163" s="1"/>
  <c r="N26" i="163"/>
  <c r="H26" i="163" s="1"/>
  <c r="N27" i="163"/>
  <c r="N28" i="163"/>
  <c r="H28" i="163" s="1"/>
  <c r="N29" i="163"/>
  <c r="H29" i="163" s="1"/>
  <c r="N30" i="163"/>
  <c r="H30" i="163" s="1"/>
  <c r="N31" i="163"/>
  <c r="H31" i="163" s="1"/>
  <c r="N32" i="163"/>
  <c r="H32" i="163" s="1"/>
  <c r="N33" i="163"/>
  <c r="H33" i="163" s="1"/>
  <c r="N34" i="163"/>
  <c r="H34" i="163" s="1"/>
  <c r="N35" i="163"/>
  <c r="H35" i="163" s="1"/>
  <c r="N36" i="163"/>
  <c r="H36" i="163" s="1"/>
  <c r="N37" i="163"/>
  <c r="H37" i="163" s="1"/>
  <c r="N38" i="163"/>
  <c r="N39" i="163"/>
  <c r="H39" i="163" s="1"/>
  <c r="N40" i="163"/>
  <c r="H40" i="163" s="1"/>
  <c r="N41" i="163"/>
  <c r="H41" i="163" s="1"/>
  <c r="N42" i="163"/>
  <c r="H42" i="163" s="1"/>
  <c r="N43" i="163"/>
  <c r="H43" i="163" s="1"/>
  <c r="N44" i="163"/>
  <c r="H44" i="163" s="1"/>
  <c r="N45" i="163"/>
  <c r="H45" i="163" s="1"/>
  <c r="N46" i="163"/>
  <c r="H46" i="163" s="1"/>
  <c r="N47" i="163"/>
  <c r="H47" i="163" s="1"/>
  <c r="N48" i="163"/>
  <c r="H48" i="163" s="1"/>
  <c r="N49" i="163"/>
  <c r="N50" i="163"/>
  <c r="H50" i="163" s="1"/>
  <c r="N51" i="163"/>
  <c r="H51" i="163" s="1"/>
  <c r="N52" i="163"/>
  <c r="H52" i="163" s="1"/>
  <c r="N53" i="163"/>
  <c r="H53" i="163" s="1"/>
  <c r="N54" i="163"/>
  <c r="H54" i="163" s="1"/>
  <c r="N55" i="163"/>
  <c r="H55" i="163" s="1"/>
  <c r="N56" i="163"/>
  <c r="H56" i="163" s="1"/>
  <c r="N57" i="163"/>
  <c r="H57" i="163" s="1"/>
  <c r="N58" i="163"/>
  <c r="H58" i="163" s="1"/>
  <c r="N59" i="163"/>
  <c r="H59" i="163" s="1"/>
  <c r="N60" i="163"/>
  <c r="N61" i="163"/>
  <c r="H61" i="163" s="1"/>
  <c r="N62" i="163"/>
  <c r="H62" i="163" s="1"/>
  <c r="N63" i="163"/>
  <c r="H63" i="163" s="1"/>
  <c r="N64" i="163"/>
  <c r="H64" i="163" s="1"/>
  <c r="N65" i="163"/>
  <c r="H65" i="163" s="1"/>
  <c r="N66" i="163"/>
  <c r="H66" i="163" s="1"/>
  <c r="N67" i="163"/>
  <c r="H67" i="163" s="1"/>
  <c r="N68" i="163"/>
  <c r="H68" i="163" s="1"/>
  <c r="N69" i="163"/>
  <c r="H69" i="163" s="1"/>
  <c r="N70" i="163"/>
  <c r="H70" i="163" s="1"/>
  <c r="N71" i="163"/>
  <c r="N72" i="163"/>
  <c r="H72" i="163" s="1"/>
  <c r="N73" i="163"/>
  <c r="H73" i="163" s="1"/>
  <c r="N74" i="163"/>
  <c r="H74" i="163" s="1"/>
  <c r="N75" i="163"/>
  <c r="H75" i="163" s="1"/>
  <c r="N76" i="163"/>
  <c r="H76" i="163" s="1"/>
  <c r="N77" i="163"/>
  <c r="H77" i="163" s="1"/>
  <c r="N78" i="163"/>
  <c r="H78" i="163" s="1"/>
  <c r="N79" i="163"/>
  <c r="H79" i="163" s="1"/>
  <c r="N80" i="163"/>
  <c r="H80" i="163" s="1"/>
  <c r="N81" i="163"/>
  <c r="H81" i="163" s="1"/>
  <c r="N82" i="163"/>
  <c r="N83" i="163"/>
  <c r="H83" i="163" s="1"/>
  <c r="N84" i="163"/>
  <c r="H84" i="163" s="1"/>
  <c r="N85" i="163"/>
  <c r="H85" i="163" s="1"/>
  <c r="N86" i="163"/>
  <c r="H86" i="163" s="1"/>
  <c r="N87" i="163"/>
  <c r="H87" i="163" s="1"/>
  <c r="N88" i="163"/>
  <c r="H88" i="163" s="1"/>
  <c r="N89" i="163"/>
  <c r="H89" i="163" s="1"/>
  <c r="N90" i="163"/>
  <c r="H90" i="163" s="1"/>
  <c r="N91" i="163"/>
  <c r="H91" i="163" s="1"/>
  <c r="N92" i="163"/>
  <c r="H92" i="163" s="1"/>
  <c r="N93" i="163"/>
  <c r="N94" i="163"/>
  <c r="H94" i="163" s="1"/>
  <c r="N95" i="163"/>
  <c r="H95" i="163" s="1"/>
  <c r="N96" i="163"/>
  <c r="H96" i="163" s="1"/>
  <c r="N97" i="163"/>
  <c r="H97" i="163" s="1"/>
  <c r="N98" i="163"/>
  <c r="H98" i="163" s="1"/>
  <c r="N99" i="163"/>
  <c r="H99" i="163" s="1"/>
  <c r="N100" i="163"/>
  <c r="H100" i="163" s="1"/>
  <c r="N101" i="163"/>
  <c r="H101" i="163" s="1"/>
  <c r="N102" i="163"/>
  <c r="H102" i="163" s="1"/>
  <c r="N103" i="163"/>
  <c r="H103" i="163" s="1"/>
  <c r="N104" i="163"/>
  <c r="N105" i="163"/>
  <c r="H105" i="163" s="1"/>
  <c r="N106" i="163"/>
  <c r="H106" i="163" s="1"/>
  <c r="N107" i="163"/>
  <c r="H107" i="163" s="1"/>
  <c r="N108" i="163"/>
  <c r="H108" i="163" s="1"/>
  <c r="N109" i="163"/>
  <c r="H109" i="163" s="1"/>
  <c r="N110" i="163"/>
  <c r="H110" i="163" s="1"/>
  <c r="N111" i="163"/>
  <c r="H111" i="163" s="1"/>
  <c r="N112" i="163"/>
  <c r="H112" i="163" s="1"/>
  <c r="N113" i="163"/>
  <c r="H113" i="163" s="1"/>
  <c r="N114" i="163"/>
  <c r="H114" i="163" s="1"/>
  <c r="N115" i="163"/>
  <c r="N116" i="163"/>
  <c r="H116" i="163" s="1"/>
  <c r="N117" i="163"/>
  <c r="H117" i="163" s="1"/>
  <c r="N118" i="163"/>
  <c r="H118" i="163" s="1"/>
  <c r="N119" i="163"/>
  <c r="H119" i="163" s="1"/>
  <c r="N120" i="163"/>
  <c r="H120" i="163" s="1"/>
  <c r="N121" i="163"/>
  <c r="H121" i="163" s="1"/>
  <c r="N122" i="163"/>
  <c r="H122" i="163" s="1"/>
  <c r="N123" i="163"/>
  <c r="H123" i="163" s="1"/>
  <c r="N124" i="163"/>
  <c r="H124" i="163" s="1"/>
  <c r="N125" i="163"/>
  <c r="H125" i="163" s="1"/>
  <c r="N126" i="163"/>
  <c r="N127" i="163"/>
  <c r="H127" i="163" s="1"/>
  <c r="N128" i="163"/>
  <c r="H128" i="163" s="1"/>
  <c r="N129" i="163"/>
  <c r="H129" i="163" s="1"/>
  <c r="N130" i="163"/>
  <c r="H130" i="163" s="1"/>
  <c r="N131" i="163"/>
  <c r="H131" i="163" s="1"/>
  <c r="N132" i="163"/>
  <c r="H132" i="163" s="1"/>
  <c r="N133" i="163"/>
  <c r="H133" i="163" s="1"/>
  <c r="N134" i="163"/>
  <c r="H134" i="163" s="1"/>
  <c r="N135" i="163"/>
  <c r="H135" i="163" s="1"/>
  <c r="N136" i="163"/>
  <c r="H136" i="163" s="1"/>
  <c r="N137" i="163"/>
  <c r="N138" i="163"/>
  <c r="H138" i="163" s="1"/>
  <c r="N139" i="163"/>
  <c r="H139" i="163" s="1"/>
  <c r="N140" i="163"/>
  <c r="H140" i="163" s="1"/>
  <c r="N141" i="163"/>
  <c r="H141" i="163" s="1"/>
  <c r="N142" i="163"/>
  <c r="H142" i="163" s="1"/>
  <c r="N143" i="163"/>
  <c r="H143" i="163" s="1"/>
  <c r="N144" i="163"/>
  <c r="H144" i="163" s="1"/>
  <c r="N145" i="163"/>
  <c r="H145" i="163" s="1"/>
  <c r="N146" i="163"/>
  <c r="H146" i="163" s="1"/>
  <c r="N147" i="163"/>
  <c r="H147" i="163" s="1"/>
  <c r="N148" i="163"/>
  <c r="N149" i="163"/>
  <c r="N150" i="163"/>
  <c r="H150" i="163" s="1"/>
  <c r="N151" i="163"/>
  <c r="H151" i="163" s="1"/>
  <c r="N152" i="163"/>
  <c r="H152" i="163" s="1"/>
  <c r="N153" i="163"/>
  <c r="H153" i="163" s="1"/>
  <c r="N154" i="163"/>
  <c r="H154" i="163" s="1"/>
  <c r="N155" i="163"/>
  <c r="H155" i="163" s="1"/>
  <c r="N156" i="163"/>
  <c r="H156" i="163" s="1"/>
  <c r="N157" i="163"/>
  <c r="H157" i="163" s="1"/>
  <c r="N158" i="163"/>
  <c r="H158" i="163" s="1"/>
  <c r="N159" i="163"/>
  <c r="H159" i="163" s="1"/>
  <c r="N160" i="163"/>
  <c r="N161" i="163"/>
  <c r="H161" i="163" s="1"/>
  <c r="N162" i="163"/>
  <c r="H162" i="163" s="1"/>
  <c r="N163" i="163"/>
  <c r="H163" i="163" s="1"/>
  <c r="N164" i="163"/>
  <c r="H164" i="163" s="1"/>
  <c r="N165" i="163"/>
  <c r="H165" i="163" s="1"/>
  <c r="N166" i="163"/>
  <c r="H166" i="163" s="1"/>
  <c r="N167" i="163"/>
  <c r="H167" i="163" s="1"/>
  <c r="N168" i="163"/>
  <c r="H168" i="163" s="1"/>
  <c r="N169" i="163"/>
  <c r="H169" i="163" s="1"/>
  <c r="N170" i="163"/>
  <c r="H170" i="163" s="1"/>
  <c r="N171" i="163"/>
  <c r="N172" i="163"/>
  <c r="H172" i="163" s="1"/>
  <c r="N173" i="163"/>
  <c r="H173" i="163" s="1"/>
  <c r="N174" i="163"/>
  <c r="H174" i="163" s="1"/>
  <c r="N175" i="163"/>
  <c r="H175" i="163" s="1"/>
  <c r="N176" i="163"/>
  <c r="H176" i="163" s="1"/>
  <c r="N177" i="163"/>
  <c r="H177" i="163" s="1"/>
  <c r="N178" i="163"/>
  <c r="H178" i="163" s="1"/>
  <c r="N179" i="163"/>
  <c r="H179" i="163" s="1"/>
  <c r="N180" i="163"/>
  <c r="H180" i="163" s="1"/>
  <c r="N181" i="163"/>
  <c r="H181" i="163" s="1"/>
  <c r="N182" i="163"/>
  <c r="N183" i="163"/>
  <c r="H183" i="163" s="1"/>
  <c r="N184" i="163"/>
  <c r="H184" i="163" s="1"/>
  <c r="N185" i="163"/>
  <c r="H185" i="163" s="1"/>
  <c r="N186" i="163"/>
  <c r="H186" i="163" s="1"/>
  <c r="N187" i="163"/>
  <c r="H187" i="163" s="1"/>
  <c r="N188" i="163"/>
  <c r="H188" i="163" s="1"/>
  <c r="N189" i="163"/>
  <c r="H189" i="163" s="1"/>
  <c r="N190" i="163"/>
  <c r="H190" i="163" s="1"/>
  <c r="N191" i="163"/>
  <c r="H191" i="163" s="1"/>
  <c r="N192" i="163"/>
  <c r="H192" i="163" s="1"/>
  <c r="N193" i="163"/>
  <c r="N194" i="163"/>
  <c r="H194" i="163" s="1"/>
  <c r="N195" i="163"/>
  <c r="H195" i="163" s="1"/>
  <c r="N196" i="163"/>
  <c r="H196" i="163" s="1"/>
  <c r="N197" i="163"/>
  <c r="H197" i="163" s="1"/>
  <c r="N198" i="163"/>
  <c r="H198" i="163" s="1"/>
  <c r="N199" i="163"/>
  <c r="H199" i="163" s="1"/>
  <c r="N200" i="163"/>
  <c r="H200" i="163" s="1"/>
  <c r="N201" i="163"/>
  <c r="H201" i="163" s="1"/>
  <c r="N202" i="163"/>
  <c r="H202" i="163" s="1"/>
  <c r="N203" i="163"/>
  <c r="H203" i="163" s="1"/>
  <c r="N204" i="163"/>
  <c r="N205" i="163"/>
  <c r="H205" i="163" s="1"/>
  <c r="N206" i="163"/>
  <c r="H206" i="163" s="1"/>
  <c r="N207" i="163"/>
  <c r="H207" i="163" s="1"/>
  <c r="N208" i="163"/>
  <c r="H208" i="163" s="1"/>
  <c r="N209" i="163"/>
  <c r="H209" i="163" s="1"/>
  <c r="N210" i="163"/>
  <c r="H210" i="163" s="1"/>
  <c r="N211" i="163"/>
  <c r="H211" i="163" s="1"/>
  <c r="N212" i="163"/>
  <c r="H212" i="163" s="1"/>
  <c r="N213" i="163"/>
  <c r="H213" i="163" s="1"/>
  <c r="N214" i="163"/>
  <c r="H214" i="163" s="1"/>
  <c r="N215" i="163"/>
  <c r="N216" i="163"/>
  <c r="H216" i="163" s="1"/>
  <c r="N217" i="163"/>
  <c r="H217" i="163" s="1"/>
  <c r="N218" i="163"/>
  <c r="H218" i="163" s="1"/>
  <c r="N219" i="163"/>
  <c r="H219" i="163" s="1"/>
  <c r="N220" i="163"/>
  <c r="H220" i="163" s="1"/>
  <c r="N221" i="163"/>
  <c r="H221" i="163" s="1"/>
  <c r="N222" i="163"/>
  <c r="H222" i="163" s="1"/>
  <c r="N223" i="163"/>
  <c r="H223" i="163" s="1"/>
  <c r="N224" i="163"/>
  <c r="H224" i="163" s="1"/>
  <c r="N225" i="163"/>
  <c r="H225" i="163" s="1"/>
  <c r="N226" i="163"/>
  <c r="N227" i="163"/>
  <c r="H227" i="163" s="1"/>
  <c r="N228" i="163"/>
  <c r="H228" i="163" s="1"/>
  <c r="N229" i="163"/>
  <c r="H229" i="163" s="1"/>
  <c r="N230" i="163"/>
  <c r="H230" i="163" s="1"/>
  <c r="N231" i="163"/>
  <c r="H231" i="163" s="1"/>
  <c r="N232" i="163"/>
  <c r="H232" i="163" s="1"/>
  <c r="N233" i="163"/>
  <c r="H233" i="163" s="1"/>
  <c r="N234" i="163"/>
  <c r="H234" i="163" s="1"/>
  <c r="N235" i="163"/>
  <c r="H235" i="163" s="1"/>
  <c r="N236" i="163"/>
  <c r="H236" i="163" s="1"/>
  <c r="N237" i="163"/>
  <c r="N238" i="163"/>
  <c r="H238" i="163" s="1"/>
  <c r="N239" i="163"/>
  <c r="H239" i="163" s="1"/>
  <c r="N240" i="163"/>
  <c r="H240" i="163" s="1"/>
  <c r="N241" i="163"/>
  <c r="H241" i="163" s="1"/>
  <c r="N242" i="163"/>
  <c r="H242" i="163" s="1"/>
  <c r="N243" i="163"/>
  <c r="H243" i="163" s="1"/>
  <c r="N244" i="163"/>
  <c r="H244" i="163" s="1"/>
  <c r="N245" i="163"/>
  <c r="H245" i="163" s="1"/>
  <c r="N246" i="163"/>
  <c r="H246" i="163" s="1"/>
  <c r="N247" i="163"/>
  <c r="H247" i="163" s="1"/>
  <c r="N248" i="163"/>
  <c r="N249" i="163"/>
  <c r="H249" i="163" s="1"/>
  <c r="N250" i="163"/>
  <c r="H250" i="163" s="1"/>
  <c r="N251" i="163"/>
  <c r="H251" i="163" s="1"/>
  <c r="N252" i="163"/>
  <c r="H252" i="163" s="1"/>
  <c r="N253" i="163"/>
  <c r="H253" i="163" s="1"/>
  <c r="N254" i="163"/>
  <c r="H254" i="163" s="1"/>
  <c r="N255" i="163"/>
  <c r="H255" i="163" s="1"/>
  <c r="N256" i="163"/>
  <c r="H256" i="163" s="1"/>
  <c r="N257" i="163"/>
  <c r="H257" i="163" s="1"/>
  <c r="N258" i="163"/>
  <c r="H258" i="163" s="1"/>
  <c r="N259" i="163"/>
  <c r="N260" i="163"/>
  <c r="N261" i="163"/>
  <c r="H261" i="163" s="1"/>
  <c r="N262" i="163"/>
  <c r="H262" i="163" s="1"/>
  <c r="N263" i="163"/>
  <c r="H263" i="163" s="1"/>
  <c r="N264" i="163"/>
  <c r="H264" i="163" s="1"/>
  <c r="N265" i="163"/>
  <c r="H265" i="163" s="1"/>
  <c r="N266" i="163"/>
  <c r="H266" i="163" s="1"/>
  <c r="N267" i="163"/>
  <c r="H267" i="163" s="1"/>
  <c r="N268" i="163"/>
  <c r="H268" i="163" s="1"/>
  <c r="N269" i="163"/>
  <c r="H269" i="163" s="1"/>
  <c r="N270" i="163"/>
  <c r="H270" i="163" s="1"/>
  <c r="N271" i="163"/>
  <c r="N272" i="163"/>
  <c r="H272" i="163" s="1"/>
  <c r="N273" i="163"/>
  <c r="H273" i="163" s="1"/>
  <c r="N274" i="163"/>
  <c r="H274" i="163" s="1"/>
  <c r="N275" i="163"/>
  <c r="H275" i="163" s="1"/>
  <c r="N276" i="163"/>
  <c r="H276" i="163" s="1"/>
  <c r="N277" i="163"/>
  <c r="H277" i="163" s="1"/>
  <c r="N278" i="163"/>
  <c r="H278" i="163" s="1"/>
  <c r="N279" i="163"/>
  <c r="H279" i="163" s="1"/>
  <c r="N280" i="163"/>
  <c r="H280" i="163" s="1"/>
  <c r="N281" i="163"/>
  <c r="H281" i="163" s="1"/>
  <c r="N282" i="163"/>
  <c r="N283" i="163"/>
  <c r="H283" i="163" s="1"/>
  <c r="N284" i="163"/>
  <c r="H284" i="163" s="1"/>
  <c r="N285" i="163"/>
  <c r="H285" i="163" s="1"/>
  <c r="N286" i="163"/>
  <c r="H286" i="163" s="1"/>
  <c r="N287" i="163"/>
  <c r="H287" i="163" s="1"/>
  <c r="N288" i="163"/>
  <c r="H288" i="163" s="1"/>
  <c r="N289" i="163"/>
  <c r="H289" i="163" s="1"/>
  <c r="N290" i="163"/>
  <c r="H290" i="163" s="1"/>
  <c r="N291" i="163"/>
  <c r="H291" i="163" s="1"/>
  <c r="N292" i="163"/>
  <c r="H292" i="163" s="1"/>
  <c r="N293" i="163"/>
  <c r="N294" i="163"/>
  <c r="H294" i="163" s="1"/>
  <c r="N295" i="163"/>
  <c r="H295" i="163" s="1"/>
  <c r="N296" i="163"/>
  <c r="H296" i="163" s="1"/>
  <c r="N297" i="163"/>
  <c r="H297" i="163" s="1"/>
  <c r="N298" i="163"/>
  <c r="H298" i="163" s="1"/>
  <c r="N299" i="163"/>
  <c r="H299" i="163" s="1"/>
  <c r="N300" i="163"/>
  <c r="H300" i="163" s="1"/>
  <c r="N301" i="163"/>
  <c r="H301" i="163" s="1"/>
  <c r="N302" i="163"/>
  <c r="H302" i="163" s="1"/>
  <c r="N303" i="163"/>
  <c r="H303" i="163" s="1"/>
  <c r="N304" i="163"/>
  <c r="N305" i="163"/>
  <c r="H305" i="163" s="1"/>
  <c r="N306" i="163"/>
  <c r="H306" i="163" s="1"/>
  <c r="N307" i="163"/>
  <c r="H307" i="163" s="1"/>
  <c r="N308" i="163"/>
  <c r="H308" i="163" s="1"/>
  <c r="N309" i="163"/>
  <c r="H309" i="163" s="1"/>
  <c r="N310" i="163"/>
  <c r="H310" i="163" s="1"/>
  <c r="N311" i="163"/>
  <c r="H311" i="163" s="1"/>
  <c r="N312" i="163"/>
  <c r="H312" i="163" s="1"/>
  <c r="N313" i="163"/>
  <c r="H313" i="163" s="1"/>
  <c r="N314" i="163"/>
  <c r="H314" i="163" s="1"/>
  <c r="N4" i="163"/>
  <c r="C259" i="163"/>
  <c r="C148" i="163"/>
  <c r="C4" i="163"/>
  <c r="I114" i="163" a="1"/>
  <c r="I114" i="163" s="1"/>
  <c r="K41" i="1"/>
  <c r="H7" i="2"/>
  <c r="H16" i="2"/>
  <c r="H35" i="2"/>
  <c r="H45" i="2"/>
  <c r="H48" i="2"/>
  <c r="B148" i="163" l="1"/>
  <c r="B259" i="163"/>
  <c r="B4" i="163"/>
  <c r="G2" i="171" a="1"/>
  <c r="G2" i="171" s="1"/>
  <c r="F2" i="171" a="1"/>
  <c r="F2" i="171" s="1"/>
  <c r="E2" i="171" a="1"/>
  <c r="E2" i="171" s="1"/>
  <c r="H34" i="2"/>
  <c r="HC4" i="32" a="1"/>
  <c r="HC4" i="32" s="1"/>
  <c r="HC7" i="32" a="1"/>
  <c r="HC7" i="32" s="1"/>
  <c r="HC5" i="32" a="1"/>
  <c r="HC5" i="32" s="1"/>
  <c r="HC2" i="32" a="1"/>
  <c r="HC2" i="32" s="1"/>
  <c r="HC3" i="32" a="1"/>
  <c r="HC3" i="32" s="1"/>
  <c r="HC6" i="32" a="1"/>
  <c r="HC6" i="32" s="1"/>
  <c r="H15" i="2"/>
  <c r="GR6" i="32" a="1"/>
  <c r="GR6" i="32" s="1"/>
  <c r="GR3" i="32" a="1"/>
  <c r="GR3" i="32" s="1"/>
  <c r="GR7" i="32" a="1"/>
  <c r="GR7" i="32" s="1"/>
  <c r="GR4" i="32" a="1"/>
  <c r="GR4" i="32" s="1"/>
  <c r="GR2" i="32" a="1"/>
  <c r="GR2" i="32" s="1"/>
  <c r="GR5" i="32" a="1"/>
  <c r="GR5" i="32" s="1"/>
  <c r="H6" i="2"/>
  <c r="GN4" i="32" a="1"/>
  <c r="GN4" i="32" s="1"/>
  <c r="GN2" i="32" a="1"/>
  <c r="GN2" i="32" s="1"/>
  <c r="GN5" i="32" a="1"/>
  <c r="GN5" i="32" s="1"/>
  <c r="GN6" i="32" a="1"/>
  <c r="GN6" i="32" s="1"/>
  <c r="GN3" i="32" a="1"/>
  <c r="GN3" i="32" s="1"/>
  <c r="GN7" i="32" a="1"/>
  <c r="GN7" i="32" s="1"/>
  <c r="B5" i="68"/>
  <c r="I10" i="163" a="1"/>
  <c r="I10" i="163" s="1"/>
  <c r="I13" i="163" a="1"/>
  <c r="I13" i="163" s="1"/>
  <c r="I7" i="163" a="1"/>
  <c r="I7" i="163" s="1"/>
  <c r="I8" i="163" a="1"/>
  <c r="I8" i="163" s="1"/>
  <c r="C10" i="163"/>
  <c r="I17" i="163" a="1"/>
  <c r="I17" i="163" s="1"/>
  <c r="I30" i="163" a="1"/>
  <c r="I30" i="163" s="1"/>
  <c r="I37" i="163" a="1"/>
  <c r="I37" i="163" s="1"/>
  <c r="I41" i="163" a="1"/>
  <c r="I41" i="163" s="1"/>
  <c r="C44" i="163"/>
  <c r="I48" i="163" a="1"/>
  <c r="I48" i="163" s="1"/>
  <c r="I52" i="163" a="1"/>
  <c r="I52" i="163" s="1"/>
  <c r="I59" i="163" a="1"/>
  <c r="I59" i="163" s="1"/>
  <c r="I63" i="163" a="1"/>
  <c r="I63" i="163" s="1"/>
  <c r="I75" i="163" a="1"/>
  <c r="I75" i="163" s="1"/>
  <c r="I79" i="163" a="1"/>
  <c r="I79" i="163" s="1"/>
  <c r="C107" i="163"/>
  <c r="I18" i="163" a="1"/>
  <c r="I18" i="163" s="1"/>
  <c r="C34" i="163"/>
  <c r="I45" i="163" a="1"/>
  <c r="I45" i="163" s="1"/>
  <c r="I53" i="163" a="1"/>
  <c r="I53" i="163" s="1"/>
  <c r="C68" i="163"/>
  <c r="C72" i="163"/>
  <c r="C76" i="163"/>
  <c r="I80" i="163" a="1"/>
  <c r="I80" i="163" s="1"/>
  <c r="G86" i="163"/>
  <c r="G90" i="163"/>
  <c r="G94" i="163"/>
  <c r="C111" i="163"/>
  <c r="G11" i="163"/>
  <c r="I15" i="163" a="1"/>
  <c r="I15" i="163" s="1"/>
  <c r="I19" i="163" a="1"/>
  <c r="I19" i="163" s="1"/>
  <c r="C31" i="163"/>
  <c r="I35" i="163" a="1"/>
  <c r="I35" i="163" s="1"/>
  <c r="I39" i="163" a="1"/>
  <c r="I39" i="163" s="1"/>
  <c r="C46" i="163"/>
  <c r="C50" i="163"/>
  <c r="C54" i="163"/>
  <c r="G57" i="163"/>
  <c r="C65" i="163"/>
  <c r="I69" i="163" a="1"/>
  <c r="I69" i="163" s="1"/>
  <c r="I73" i="163" a="1"/>
  <c r="I73" i="163" s="1"/>
  <c r="C77" i="163"/>
  <c r="I81" i="163" a="1"/>
  <c r="I81" i="163" s="1"/>
  <c r="G84" i="163"/>
  <c r="C87" i="163"/>
  <c r="C95" i="163"/>
  <c r="I101" i="163" a="1"/>
  <c r="I101" i="163" s="1"/>
  <c r="G313" i="163"/>
  <c r="I310" i="163" a="1"/>
  <c r="I310" i="163" s="1"/>
  <c r="I306" i="163" a="1"/>
  <c r="I306" i="163" s="1"/>
  <c r="I302" i="163" a="1"/>
  <c r="I302" i="163" s="1"/>
  <c r="I292" i="163" a="1"/>
  <c r="I292" i="163" s="1"/>
  <c r="I288" i="163" a="1"/>
  <c r="I288" i="163" s="1"/>
  <c r="I281" i="163" a="1"/>
  <c r="I281" i="163" s="1"/>
  <c r="I278" i="163" a="1"/>
  <c r="I278" i="163" s="1"/>
  <c r="C274" i="163"/>
  <c r="G264" i="163"/>
  <c r="C255" i="163"/>
  <c r="I251" i="163" a="1"/>
  <c r="I251" i="163" s="1"/>
  <c r="C247" i="163"/>
  <c r="G243" i="163"/>
  <c r="G235" i="163"/>
  <c r="G227" i="163"/>
  <c r="C219" i="163"/>
  <c r="G215" i="163"/>
  <c r="I212" i="163" a="1"/>
  <c r="I212" i="163" s="1"/>
  <c r="C208" i="163"/>
  <c r="G201" i="163"/>
  <c r="G197" i="163"/>
  <c r="G193" i="163"/>
  <c r="C186" i="163"/>
  <c r="C175" i="163"/>
  <c r="G171" i="163"/>
  <c r="C167" i="163"/>
  <c r="C163" i="163"/>
  <c r="C159" i="163"/>
  <c r="C151" i="163"/>
  <c r="I146" i="163" a="1"/>
  <c r="I146" i="163" s="1"/>
  <c r="C142" i="163"/>
  <c r="C134" i="163"/>
  <c r="I130" i="163" a="1"/>
  <c r="I130" i="163" s="1"/>
  <c r="I116" i="163" a="1"/>
  <c r="I116" i="163" s="1"/>
  <c r="I109" i="163" a="1"/>
  <c r="I109" i="163" s="1"/>
  <c r="C99" i="163"/>
  <c r="I312" i="163" a="1"/>
  <c r="I312" i="163" s="1"/>
  <c r="C309" i="163"/>
  <c r="C301" i="163"/>
  <c r="C291" i="163"/>
  <c r="C287" i="163"/>
  <c r="G280" i="163"/>
  <c r="C277" i="163"/>
  <c r="C273" i="163"/>
  <c r="C263" i="163"/>
  <c r="C258" i="163"/>
  <c r="C254" i="163"/>
  <c r="G250" i="163"/>
  <c r="C246" i="163"/>
  <c r="C242" i="163"/>
  <c r="G234" i="163"/>
  <c r="C214" i="163"/>
  <c r="G211" i="163"/>
  <c r="G207" i="163"/>
  <c r="C200" i="163"/>
  <c r="C196" i="163"/>
  <c r="C192" i="163"/>
  <c r="G185" i="163"/>
  <c r="C178" i="163"/>
  <c r="I166" i="163" a="1"/>
  <c r="I166" i="163" s="1"/>
  <c r="G158" i="163"/>
  <c r="C141" i="163"/>
  <c r="C133" i="163"/>
  <c r="C125" i="163"/>
  <c r="I108" i="163" a="1"/>
  <c r="I108" i="163" s="1"/>
  <c r="I102" i="163" a="1"/>
  <c r="I102" i="163" s="1"/>
  <c r="G98" i="163"/>
  <c r="I308" i="163" a="1"/>
  <c r="I308" i="163" s="1"/>
  <c r="I300" i="163" a="1"/>
  <c r="I300" i="163" s="1"/>
  <c r="I294" i="163" a="1"/>
  <c r="I294" i="163" s="1"/>
  <c r="I290" i="163" a="1"/>
  <c r="I290" i="163" s="1"/>
  <c r="I286" i="163" a="1"/>
  <c r="I286" i="163" s="1"/>
  <c r="G272" i="163"/>
  <c r="G262" i="163"/>
  <c r="C241" i="163"/>
  <c r="G237" i="163"/>
  <c r="I233" i="163" a="1"/>
  <c r="I233" i="163" s="1"/>
  <c r="C229" i="163"/>
  <c r="C225" i="163"/>
  <c r="C221" i="163"/>
  <c r="C217" i="163"/>
  <c r="G213" i="163"/>
  <c r="I210" i="163" a="1"/>
  <c r="I210" i="163" s="1"/>
  <c r="C206" i="163"/>
  <c r="G199" i="163"/>
  <c r="C184" i="163"/>
  <c r="C180" i="163"/>
  <c r="C165" i="163"/>
  <c r="G157" i="163"/>
  <c r="G144" i="163"/>
  <c r="I136" i="163" a="1"/>
  <c r="I136" i="163" s="1"/>
  <c r="C128" i="163"/>
  <c r="I118" i="163" a="1"/>
  <c r="I118" i="163" s="1"/>
  <c r="C307" i="163"/>
  <c r="C303" i="163"/>
  <c r="C299" i="163"/>
  <c r="G293" i="163"/>
  <c r="C289" i="163"/>
  <c r="G282" i="163"/>
  <c r="C269" i="163"/>
  <c r="I259" i="163" a="1"/>
  <c r="I259" i="163" s="1"/>
  <c r="C256" i="163"/>
  <c r="C252" i="163"/>
  <c r="C244" i="163"/>
  <c r="C240" i="163"/>
  <c r="C236" i="163"/>
  <c r="C228" i="163"/>
  <c r="C224" i="163"/>
  <c r="C220" i="163"/>
  <c r="G209" i="163"/>
  <c r="C202" i="163"/>
  <c r="C198" i="163"/>
  <c r="I194" i="163" a="1"/>
  <c r="I194" i="163" s="1"/>
  <c r="C190" i="163"/>
  <c r="C183" i="163"/>
  <c r="C176" i="163"/>
  <c r="C172" i="163"/>
  <c r="I168" i="163" a="1"/>
  <c r="I168" i="163" s="1"/>
  <c r="C156" i="163"/>
  <c r="I152" i="163" a="1"/>
  <c r="I152" i="163" s="1"/>
  <c r="C143" i="163"/>
  <c r="C127" i="163"/>
  <c r="I117" i="163" a="1"/>
  <c r="I117" i="163" s="1"/>
  <c r="I110" i="163" a="1"/>
  <c r="I110" i="163" s="1"/>
  <c r="G100" i="163"/>
  <c r="I6" i="163" a="1"/>
  <c r="I6" i="163" s="1"/>
  <c r="C12" i="163"/>
  <c r="C20" i="163"/>
  <c r="C23" i="163"/>
  <c r="I29" i="163" a="1"/>
  <c r="I29" i="163" s="1"/>
  <c r="C36" i="163"/>
  <c r="I40" i="163" a="1"/>
  <c r="I40" i="163" s="1"/>
  <c r="I43" i="163" a="1"/>
  <c r="I43" i="163" s="1"/>
  <c r="I51" i="163" a="1"/>
  <c r="I51" i="163" s="1"/>
  <c r="I55" i="163" a="1"/>
  <c r="I55" i="163" s="1"/>
  <c r="C58" i="163"/>
  <c r="C66" i="163"/>
  <c r="C70" i="163"/>
  <c r="C74" i="163"/>
  <c r="C78" i="163"/>
  <c r="G82" i="163"/>
  <c r="I85" i="163" a="1"/>
  <c r="I85" i="163" s="1"/>
  <c r="G88" i="163"/>
  <c r="G92" i="163"/>
  <c r="G96" i="163"/>
  <c r="C150" i="163"/>
  <c r="G175" i="163"/>
  <c r="G40" i="163"/>
  <c r="I95" i="163" a="1"/>
  <c r="I95" i="163" s="1"/>
  <c r="I111" i="163" a="1"/>
  <c r="I111" i="163" s="1"/>
  <c r="G159" i="163"/>
  <c r="G166" i="163"/>
  <c r="I217" i="163" a="1"/>
  <c r="I217" i="163" s="1"/>
  <c r="G278" i="163"/>
  <c r="I287" i="163" a="1"/>
  <c r="I287" i="163" s="1"/>
  <c r="G290" i="163"/>
  <c r="G303" i="163"/>
  <c r="G306" i="163"/>
  <c r="C35" i="163"/>
  <c r="C41" i="163"/>
  <c r="I50" i="163" a="1"/>
  <c r="I50" i="163" s="1"/>
  <c r="G68" i="163"/>
  <c r="G75" i="163"/>
  <c r="C81" i="163"/>
  <c r="C101" i="163"/>
  <c r="C109" i="163"/>
  <c r="C117" i="163"/>
  <c r="I144" i="163" a="1"/>
  <c r="I144" i="163" s="1"/>
  <c r="C166" i="163"/>
  <c r="G186" i="163"/>
  <c r="G233" i="163"/>
  <c r="C243" i="163"/>
  <c r="G273" i="163"/>
  <c r="C278" i="163"/>
  <c r="G291" i="163"/>
  <c r="G302" i="163"/>
  <c r="C312" i="163"/>
  <c r="G10" i="163"/>
  <c r="G15" i="163"/>
  <c r="G18" i="163"/>
  <c r="C75" i="163"/>
  <c r="I99" i="163" a="1"/>
  <c r="I99" i="163" s="1"/>
  <c r="I107" i="163" a="1"/>
  <c r="I107" i="163" s="1"/>
  <c r="G165" i="163"/>
  <c r="G202" i="163"/>
  <c r="I241" i="163" a="1"/>
  <c r="I241" i="163" s="1"/>
  <c r="G247" i="163"/>
  <c r="G261" i="163"/>
  <c r="C264" i="163"/>
  <c r="G277" i="163"/>
  <c r="G34" i="163"/>
  <c r="G42" i="163"/>
  <c r="C57" i="163"/>
  <c r="G60" i="163"/>
  <c r="G102" i="163"/>
  <c r="G114" i="163"/>
  <c r="G128" i="163"/>
  <c r="G143" i="163"/>
  <c r="G160" i="163"/>
  <c r="I165" i="163" a="1"/>
  <c r="I165" i="163" s="1"/>
  <c r="G183" i="163"/>
  <c r="I186" i="163" a="1"/>
  <c r="I186" i="163" s="1"/>
  <c r="I202" i="163" a="1"/>
  <c r="I202" i="163" s="1"/>
  <c r="G210" i="163"/>
  <c r="G212" i="163"/>
  <c r="G229" i="163"/>
  <c r="C233" i="163"/>
  <c r="G258" i="163"/>
  <c r="I269" i="163" a="1"/>
  <c r="I269" i="163" s="1"/>
  <c r="C272" i="163"/>
  <c r="I277" i="163" a="1"/>
  <c r="I277" i="163" s="1"/>
  <c r="C288" i="163"/>
  <c r="C290" i="163"/>
  <c r="C292" i="163"/>
  <c r="C300" i="163"/>
  <c r="C302" i="163"/>
  <c r="C306" i="163"/>
  <c r="G310" i="163"/>
  <c r="G8" i="163"/>
  <c r="C19" i="163"/>
  <c r="I34" i="163" a="1"/>
  <c r="I34" i="163" s="1"/>
  <c r="I36" i="163" a="1"/>
  <c r="I36" i="163" s="1"/>
  <c r="G39" i="163"/>
  <c r="G41" i="163"/>
  <c r="C85" i="163"/>
  <c r="I87" i="163" a="1"/>
  <c r="I87" i="163" s="1"/>
  <c r="G101" i="163"/>
  <c r="G109" i="163"/>
  <c r="G113" i="163"/>
  <c r="G117" i="163"/>
  <c r="G121" i="163"/>
  <c r="I128" i="163" a="1"/>
  <c r="I128" i="163" s="1"/>
  <c r="I134" i="163" a="1"/>
  <c r="I134" i="163" s="1"/>
  <c r="G137" i="163"/>
  <c r="I143" i="163" a="1"/>
  <c r="I143" i="163" s="1"/>
  <c r="I183" i="163" a="1"/>
  <c r="I183" i="163" s="1"/>
  <c r="C210" i="163"/>
  <c r="I229" i="163" a="1"/>
  <c r="I229" i="163" s="1"/>
  <c r="I240" i="163" a="1"/>
  <c r="I240" i="163" s="1"/>
  <c r="I258" i="163" a="1"/>
  <c r="I258" i="163" s="1"/>
  <c r="G287" i="163"/>
  <c r="C310" i="163"/>
  <c r="G17" i="163"/>
  <c r="C18" i="163"/>
  <c r="C40" i="163"/>
  <c r="G45" i="163"/>
  <c r="I56" i="163" a="1"/>
  <c r="I56" i="163" s="1"/>
  <c r="I57" i="163" a="1"/>
  <c r="I57" i="163" s="1"/>
  <c r="I65" i="163" a="1"/>
  <c r="I65" i="163" s="1"/>
  <c r="G81" i="163"/>
  <c r="G85" i="163"/>
  <c r="G97" i="163"/>
  <c r="I151" i="163" a="1"/>
  <c r="I151" i="163" s="1"/>
  <c r="I156" i="163" a="1"/>
  <c r="I156" i="163" s="1"/>
  <c r="I167" i="163" a="1"/>
  <c r="I167" i="163" s="1"/>
  <c r="I172" i="163" a="1"/>
  <c r="I172" i="163" s="1"/>
  <c r="I180" i="163" a="1"/>
  <c r="I180" i="163" s="1"/>
  <c r="I198" i="163" a="1"/>
  <c r="I198" i="163" s="1"/>
  <c r="I208" i="163" a="1"/>
  <c r="I208" i="163" s="1"/>
  <c r="I224" i="163" a="1"/>
  <c r="I224" i="163" s="1"/>
  <c r="I225" i="163" a="1"/>
  <c r="I225" i="163" s="1"/>
  <c r="C227" i="163"/>
  <c r="G255" i="163"/>
  <c r="I274" i="163" a="1"/>
  <c r="I274" i="163" s="1"/>
  <c r="C286" i="163"/>
  <c r="I289" i="163" a="1"/>
  <c r="I289" i="163" s="1"/>
  <c r="G292" i="163"/>
  <c r="G300" i="163"/>
  <c r="I301" i="163" a="1"/>
  <c r="I301" i="163" s="1"/>
  <c r="G304" i="163"/>
  <c r="I309" i="163" a="1"/>
  <c r="I309" i="163" s="1"/>
  <c r="G312" i="163"/>
  <c r="G7" i="163"/>
  <c r="G16" i="163"/>
  <c r="C17" i="163"/>
  <c r="I58" i="163" a="1"/>
  <c r="I58" i="163" s="1"/>
  <c r="G127" i="163"/>
  <c r="G146" i="163"/>
  <c r="I148" i="163" a="1"/>
  <c r="I148" i="163" s="1"/>
  <c r="G152" i="163"/>
  <c r="I159" i="163" a="1"/>
  <c r="I159" i="163" s="1"/>
  <c r="G168" i="163"/>
  <c r="I175" i="163" a="1"/>
  <c r="I175" i="163" s="1"/>
  <c r="I190" i="163" a="1"/>
  <c r="I190" i="163" s="1"/>
  <c r="G192" i="163"/>
  <c r="G196" i="163"/>
  <c r="G208" i="163"/>
  <c r="C212" i="163"/>
  <c r="G225" i="163"/>
  <c r="G241" i="163"/>
  <c r="I242" i="163" a="1"/>
  <c r="I242" i="163" s="1"/>
  <c r="I246" i="163" a="1"/>
  <c r="I246" i="163" s="1"/>
  <c r="G252" i="163"/>
  <c r="I254" i="163" a="1"/>
  <c r="I254" i="163" s="1"/>
  <c r="G256" i="163"/>
  <c r="I285" i="163" a="1"/>
  <c r="I285" i="163" s="1"/>
  <c r="I291" i="163" a="1"/>
  <c r="I291" i="163" s="1"/>
  <c r="I295" i="163" a="1"/>
  <c r="I295" i="163" s="1"/>
  <c r="I299" i="163" a="1"/>
  <c r="I299" i="163" s="1"/>
  <c r="I303" i="163" a="1"/>
  <c r="I303" i="163" s="1"/>
  <c r="G151" i="163"/>
  <c r="C152" i="163"/>
  <c r="G167" i="163"/>
  <c r="C168" i="163"/>
  <c r="G178" i="163"/>
  <c r="G182" i="163"/>
  <c r="I192" i="163" a="1"/>
  <c r="I192" i="163" s="1"/>
  <c r="I196" i="163" a="1"/>
  <c r="I196" i="163" s="1"/>
  <c r="G198" i="163"/>
  <c r="G224" i="163"/>
  <c r="G240" i="163"/>
  <c r="I252" i="163" a="1"/>
  <c r="I252" i="163" s="1"/>
  <c r="I256" i="163" a="1"/>
  <c r="I256" i="163" s="1"/>
  <c r="G274" i="163"/>
  <c r="G289" i="163"/>
  <c r="G301" i="163"/>
  <c r="G309" i="163"/>
  <c r="C314" i="163"/>
  <c r="G6" i="163"/>
  <c r="G30" i="163"/>
  <c r="G73" i="163"/>
  <c r="G5" i="163"/>
  <c r="G13" i="163"/>
  <c r="C15" i="163"/>
  <c r="G20" i="163"/>
  <c r="C22" i="163"/>
  <c r="G28" i="163"/>
  <c r="G29" i="163"/>
  <c r="C30" i="163"/>
  <c r="C39" i="163"/>
  <c r="G44" i="163"/>
  <c r="G59" i="163"/>
  <c r="G65" i="163"/>
  <c r="G66" i="163"/>
  <c r="G69" i="163"/>
  <c r="G72" i="163"/>
  <c r="C73" i="163"/>
  <c r="I74" i="163" a="1"/>
  <c r="I74" i="163" s="1"/>
  <c r="G83" i="163"/>
  <c r="G87" i="163"/>
  <c r="G95" i="163"/>
  <c r="G99" i="163"/>
  <c r="G103" i="163"/>
  <c r="G104" i="163"/>
  <c r="G107" i="163"/>
  <c r="G108" i="163"/>
  <c r="G111" i="163"/>
  <c r="G115" i="163"/>
  <c r="G116" i="163"/>
  <c r="G119" i="163"/>
  <c r="G130" i="163"/>
  <c r="I142" i="163" a="1"/>
  <c r="I142" i="163" s="1"/>
  <c r="G38" i="163"/>
  <c r="C13" i="163"/>
  <c r="G19" i="163"/>
  <c r="G27" i="163"/>
  <c r="C29" i="163"/>
  <c r="G35" i="163"/>
  <c r="G43" i="163"/>
  <c r="G50" i="163"/>
  <c r="G53" i="163"/>
  <c r="G58" i="163"/>
  <c r="C59" i="163"/>
  <c r="I72" i="163" a="1"/>
  <c r="I72" i="163" s="1"/>
  <c r="G76" i="163"/>
  <c r="C130" i="163"/>
  <c r="C144" i="163"/>
  <c r="C146" i="163"/>
  <c r="C139" i="163"/>
  <c r="I139" i="163" a="1"/>
  <c r="I139" i="163" s="1"/>
  <c r="G139" i="163"/>
  <c r="C181" i="163"/>
  <c r="I181" i="163" a="1"/>
  <c r="I181" i="163" s="1"/>
  <c r="G181" i="163"/>
  <c r="I44" i="163" a="1"/>
  <c r="I44" i="163" s="1"/>
  <c r="C45" i="163"/>
  <c r="G46" i="163"/>
  <c r="C53" i="163"/>
  <c r="G54" i="163"/>
  <c r="G55" i="163"/>
  <c r="C61" i="163"/>
  <c r="G63" i="163"/>
  <c r="I68" i="163" a="1"/>
  <c r="I68" i="163" s="1"/>
  <c r="C69" i="163"/>
  <c r="G70" i="163"/>
  <c r="I76" i="163" a="1"/>
  <c r="I76" i="163" s="1"/>
  <c r="G79" i="163"/>
  <c r="I84" i="163" a="1"/>
  <c r="I84" i="163" s="1"/>
  <c r="C84" i="163"/>
  <c r="I86" i="163" a="1"/>
  <c r="I86" i="163" s="1"/>
  <c r="C86" i="163"/>
  <c r="I88" i="163" a="1"/>
  <c r="I88" i="163" s="1"/>
  <c r="C88" i="163"/>
  <c r="I90" i="163" a="1"/>
  <c r="I90" i="163" s="1"/>
  <c r="C90" i="163"/>
  <c r="I94" i="163" a="1"/>
  <c r="I94" i="163" s="1"/>
  <c r="I96" i="163" a="1"/>
  <c r="I96" i="163" s="1"/>
  <c r="C96" i="163"/>
  <c r="I98" i="163" a="1"/>
  <c r="I98" i="163" s="1"/>
  <c r="C98" i="163"/>
  <c r="I100" i="163" a="1"/>
  <c r="I100" i="163" s="1"/>
  <c r="C100" i="163"/>
  <c r="C131" i="163"/>
  <c r="I131" i="163" a="1"/>
  <c r="I131" i="163" s="1"/>
  <c r="G131" i="163"/>
  <c r="I140" i="163" a="1"/>
  <c r="I140" i="163" s="1"/>
  <c r="C140" i="163"/>
  <c r="G140" i="163"/>
  <c r="C169" i="163"/>
  <c r="I169" i="163" a="1"/>
  <c r="I169" i="163" s="1"/>
  <c r="G169" i="163"/>
  <c r="I187" i="163" a="1"/>
  <c r="I187" i="163" s="1"/>
  <c r="C187" i="163"/>
  <c r="G187" i="163"/>
  <c r="I203" i="163" a="1"/>
  <c r="I203" i="163" s="1"/>
  <c r="C203" i="163"/>
  <c r="G203" i="163"/>
  <c r="I154" i="163" a="1"/>
  <c r="I154" i="163" s="1"/>
  <c r="C154" i="163"/>
  <c r="G154" i="163"/>
  <c r="C177" i="163"/>
  <c r="I177" i="163" a="1"/>
  <c r="I177" i="163" s="1"/>
  <c r="G177" i="163"/>
  <c r="C238" i="163"/>
  <c r="I238" i="163" a="1"/>
  <c r="I238" i="163" s="1"/>
  <c r="G238" i="163"/>
  <c r="I46" i="163" a="1"/>
  <c r="I46" i="163" s="1"/>
  <c r="I54" i="163" a="1"/>
  <c r="I54" i="163" s="1"/>
  <c r="C55" i="163"/>
  <c r="C63" i="163"/>
  <c r="I70" i="163" a="1"/>
  <c r="I70" i="163" s="1"/>
  <c r="C79" i="163"/>
  <c r="C123" i="163"/>
  <c r="I123" i="163" a="1"/>
  <c r="I123" i="163" s="1"/>
  <c r="G123" i="163"/>
  <c r="I132" i="163" a="1"/>
  <c r="I132" i="163" s="1"/>
  <c r="C132" i="163"/>
  <c r="G132" i="163"/>
  <c r="C161" i="163"/>
  <c r="I161" i="163" a="1"/>
  <c r="I161" i="163" s="1"/>
  <c r="G161" i="163"/>
  <c r="I170" i="163" a="1"/>
  <c r="I170" i="163" s="1"/>
  <c r="C170" i="163"/>
  <c r="G170" i="163"/>
  <c r="I124" i="163" a="1"/>
  <c r="I124" i="163" s="1"/>
  <c r="C124" i="163"/>
  <c r="G124" i="163"/>
  <c r="C147" i="163"/>
  <c r="I147" i="163" a="1"/>
  <c r="I147" i="163" s="1"/>
  <c r="G147" i="163"/>
  <c r="C153" i="163"/>
  <c r="I153" i="163" a="1"/>
  <c r="I153" i="163" s="1"/>
  <c r="G153" i="163"/>
  <c r="I162" i="163" a="1"/>
  <c r="I162" i="163" s="1"/>
  <c r="C162" i="163"/>
  <c r="G162" i="163"/>
  <c r="I195" i="163" a="1"/>
  <c r="I195" i="163" s="1"/>
  <c r="C195" i="163"/>
  <c r="G195" i="163"/>
  <c r="I197" i="163" a="1"/>
  <c r="I197" i="163" s="1"/>
  <c r="C197" i="163"/>
  <c r="I209" i="163" a="1"/>
  <c r="I209" i="163" s="1"/>
  <c r="C209" i="163"/>
  <c r="I213" i="163" a="1"/>
  <c r="I213" i="163" s="1"/>
  <c r="C213" i="163"/>
  <c r="C230" i="163"/>
  <c r="I230" i="163" a="1"/>
  <c r="I230" i="163" s="1"/>
  <c r="G230" i="163"/>
  <c r="I239" i="163" a="1"/>
  <c r="I239" i="163" s="1"/>
  <c r="C239" i="163"/>
  <c r="G239" i="163"/>
  <c r="G260" i="163"/>
  <c r="C102" i="163"/>
  <c r="C108" i="163"/>
  <c r="C110" i="163"/>
  <c r="C114" i="163"/>
  <c r="C116" i="163"/>
  <c r="G125" i="163"/>
  <c r="G126" i="163"/>
  <c r="G133" i="163"/>
  <c r="G134" i="163"/>
  <c r="G141" i="163"/>
  <c r="G142" i="163"/>
  <c r="G155" i="163"/>
  <c r="G156" i="163"/>
  <c r="G163" i="163"/>
  <c r="G172" i="163"/>
  <c r="I178" i="163" a="1"/>
  <c r="I178" i="163" s="1"/>
  <c r="I199" i="163" a="1"/>
  <c r="I199" i="163" s="1"/>
  <c r="C199" i="163"/>
  <c r="C222" i="163"/>
  <c r="I222" i="163" a="1"/>
  <c r="I222" i="163" s="1"/>
  <c r="G222" i="163"/>
  <c r="I231" i="163" a="1"/>
  <c r="I231" i="163" s="1"/>
  <c r="C231" i="163"/>
  <c r="G231" i="163"/>
  <c r="I125" i="163" a="1"/>
  <c r="I125" i="163" s="1"/>
  <c r="I133" i="163" a="1"/>
  <c r="I133" i="163" s="1"/>
  <c r="I141" i="163" a="1"/>
  <c r="I141" i="163" s="1"/>
  <c r="I163" i="163" a="1"/>
  <c r="I163" i="163" s="1"/>
  <c r="G176" i="163"/>
  <c r="G180" i="163"/>
  <c r="I185" i="163" a="1"/>
  <c r="I185" i="163" s="1"/>
  <c r="C185" i="163"/>
  <c r="I201" i="163" a="1"/>
  <c r="I201" i="163" s="1"/>
  <c r="C201" i="163"/>
  <c r="I207" i="163" a="1"/>
  <c r="I207" i="163" s="1"/>
  <c r="C207" i="163"/>
  <c r="I211" i="163" a="1"/>
  <c r="I211" i="163" s="1"/>
  <c r="C211" i="163"/>
  <c r="I223" i="163" a="1"/>
  <c r="I223" i="163" s="1"/>
  <c r="C223" i="163"/>
  <c r="G223" i="163"/>
  <c r="C245" i="163"/>
  <c r="I245" i="163" a="1"/>
  <c r="I245" i="163" s="1"/>
  <c r="G245" i="163"/>
  <c r="C249" i="163"/>
  <c r="I249" i="163" a="1"/>
  <c r="I249" i="163" s="1"/>
  <c r="G249" i="163"/>
  <c r="C257" i="163"/>
  <c r="I257" i="163" a="1"/>
  <c r="I257" i="163" s="1"/>
  <c r="G257" i="163"/>
  <c r="I220" i="163" a="1"/>
  <c r="I220" i="163" s="1"/>
  <c r="I227" i="163" a="1"/>
  <c r="I227" i="163" s="1"/>
  <c r="I228" i="163" a="1"/>
  <c r="I228" i="163" s="1"/>
  <c r="I236" i="163" a="1"/>
  <c r="I236" i="163" s="1"/>
  <c r="I243" i="163" a="1"/>
  <c r="I243" i="163" s="1"/>
  <c r="G246" i="163"/>
  <c r="I247" i="163" a="1"/>
  <c r="I247" i="163" s="1"/>
  <c r="G254" i="163"/>
  <c r="I255" i="163" a="1"/>
  <c r="I255" i="163" s="1"/>
  <c r="C275" i="163"/>
  <c r="I275" i="163" a="1"/>
  <c r="I275" i="163" s="1"/>
  <c r="G275" i="163"/>
  <c r="I276" i="163" a="1"/>
  <c r="I276" i="163" s="1"/>
  <c r="C276" i="163"/>
  <c r="G276" i="163"/>
  <c r="G226" i="163"/>
  <c r="G242" i="163"/>
  <c r="I264" i="163" a="1"/>
  <c r="I264" i="163" s="1"/>
  <c r="I272" i="163" a="1"/>
  <c r="I272" i="163" s="1"/>
  <c r="I273" i="163" a="1"/>
  <c r="I273" i="163" s="1"/>
  <c r="I280" i="163" a="1"/>
  <c r="I280" i="163" s="1"/>
  <c r="G286" i="163"/>
  <c r="G288" i="163"/>
  <c r="G263" i="163"/>
  <c r="G271" i="163"/>
  <c r="G279" i="163"/>
  <c r="GQ4" i="32" l="1" a="1"/>
  <c r="GQ4" i="32" s="1"/>
  <c r="GQ2" i="32" a="1"/>
  <c r="GQ2" i="32" s="1"/>
  <c r="GQ5" i="32" a="1"/>
  <c r="GQ5" i="32" s="1"/>
  <c r="GQ6" i="32" a="1"/>
  <c r="GQ6" i="32" s="1"/>
  <c r="GQ3" i="32" a="1"/>
  <c r="GQ3" i="32" s="1"/>
  <c r="GQ7" i="32" a="1"/>
  <c r="GQ7" i="32" s="1"/>
  <c r="GM5" i="32" a="1"/>
  <c r="GM5" i="32" s="1"/>
  <c r="GM3" i="32" a="1"/>
  <c r="GM3" i="32" s="1"/>
  <c r="GM6" i="32" a="1"/>
  <c r="GM6" i="32" s="1"/>
  <c r="GM4" i="32" a="1"/>
  <c r="GM4" i="32" s="1"/>
  <c r="GM7" i="32" a="1"/>
  <c r="GM7" i="32" s="1"/>
  <c r="GM2" i="32" a="1"/>
  <c r="GM2" i="32" s="1"/>
  <c r="HB4" i="32" a="1"/>
  <c r="HB4" i="32" s="1"/>
  <c r="HB7" i="32" a="1"/>
  <c r="HB7" i="32" s="1"/>
  <c r="HB5" i="32" a="1"/>
  <c r="HB5" i="32" s="1"/>
  <c r="HB2" i="32" a="1"/>
  <c r="HB2" i="32" s="1"/>
  <c r="HB3" i="32" a="1"/>
  <c r="HB3" i="32" s="1"/>
  <c r="HB6" i="32" a="1"/>
  <c r="HB6" i="32" s="1"/>
  <c r="C135" i="163"/>
  <c r="G135" i="163"/>
  <c r="I135" i="163" a="1"/>
  <c r="I135" i="163" s="1"/>
  <c r="C164" i="163"/>
  <c r="G164" i="163"/>
  <c r="C265" i="163"/>
  <c r="I265" i="163" a="1"/>
  <c r="I265" i="163" s="1"/>
  <c r="C173" i="163"/>
  <c r="G173" i="163"/>
  <c r="G191" i="163"/>
  <c r="C191" i="163"/>
  <c r="C253" i="163"/>
  <c r="I253" i="163" a="1"/>
  <c r="I253" i="163" s="1"/>
  <c r="I267" i="163" a="1"/>
  <c r="I267" i="163" s="1"/>
  <c r="G267" i="163"/>
  <c r="C155" i="163"/>
  <c r="I155" i="163" a="1"/>
  <c r="I155" i="163" s="1"/>
  <c r="I268" i="163" a="1"/>
  <c r="I268" i="163" s="1"/>
  <c r="C268" i="163"/>
  <c r="G268" i="163"/>
  <c r="C267" i="163"/>
  <c r="C62" i="163"/>
  <c r="I62" i="163" a="1"/>
  <c r="I62" i="163" s="1"/>
  <c r="I47" i="163" a="1"/>
  <c r="I47" i="163" s="1"/>
  <c r="C47" i="163"/>
  <c r="I120" i="163" a="1"/>
  <c r="I120" i="163" s="1"/>
  <c r="C120" i="163"/>
  <c r="C283" i="163"/>
  <c r="G283" i="163"/>
  <c r="I112" i="163" a="1"/>
  <c r="I112" i="163" s="1"/>
  <c r="C112" i="163"/>
  <c r="I145" i="163" a="1"/>
  <c r="I145" i="163" s="1"/>
  <c r="G145" i="163"/>
  <c r="C174" i="163"/>
  <c r="G174" i="163"/>
  <c r="I174" i="163" a="1"/>
  <c r="I174" i="163" s="1"/>
  <c r="I284" i="163" a="1"/>
  <c r="I284" i="163" s="1"/>
  <c r="G284" i="163"/>
  <c r="I138" i="163" a="1"/>
  <c r="I138" i="163" s="1"/>
  <c r="C138" i="163"/>
  <c r="G189" i="163"/>
  <c r="I189" i="163" a="1"/>
  <c r="I189" i="163" s="1"/>
  <c r="C189" i="163"/>
  <c r="G205" i="163"/>
  <c r="I205" i="163" a="1"/>
  <c r="I205" i="163" s="1"/>
  <c r="C205" i="163"/>
  <c r="G253" i="163"/>
  <c r="I191" i="163" a="1"/>
  <c r="I191" i="163" s="1"/>
  <c r="I78" i="163" a="1"/>
  <c r="I78" i="163" s="1"/>
  <c r="I235" i="163" a="1"/>
  <c r="I235" i="163" s="1"/>
  <c r="C118" i="163"/>
  <c r="I61" i="163" a="1"/>
  <c r="I61" i="163" s="1"/>
  <c r="G61" i="163"/>
  <c r="C64" i="163"/>
  <c r="I64" i="163" a="1"/>
  <c r="I64" i="163" s="1"/>
  <c r="G64" i="163"/>
  <c r="I22" i="163" a="1"/>
  <c r="I22" i="163" s="1"/>
  <c r="G22" i="163"/>
  <c r="I67" i="163" a="1"/>
  <c r="I67" i="163" s="1"/>
  <c r="G67" i="163"/>
  <c r="C67" i="163"/>
  <c r="I33" i="163" a="1"/>
  <c r="I33" i="163" s="1"/>
  <c r="G33" i="163"/>
  <c r="C33" i="163"/>
  <c r="I21" i="163" a="1"/>
  <c r="I21" i="163" s="1"/>
  <c r="C21" i="163"/>
  <c r="G21" i="163"/>
  <c r="C91" i="163"/>
  <c r="I91" i="163" a="1"/>
  <c r="I91" i="163" s="1"/>
  <c r="G91" i="163"/>
  <c r="I89" i="163" a="1"/>
  <c r="I89" i="163" s="1"/>
  <c r="C89" i="163"/>
  <c r="G89" i="163"/>
  <c r="C48" i="163"/>
  <c r="G48" i="163"/>
  <c r="I14" i="163" a="1"/>
  <c r="I14" i="163" s="1"/>
  <c r="G14" i="163"/>
  <c r="C94" i="163"/>
  <c r="C14" i="163"/>
  <c r="I66" i="163" a="1"/>
  <c r="I66" i="163" s="1"/>
  <c r="G244" i="163"/>
  <c r="G228" i="163"/>
  <c r="I263" i="163" a="1"/>
  <c r="I263" i="163" s="1"/>
  <c r="I184" i="163" a="1"/>
  <c r="I184" i="163" s="1"/>
  <c r="I307" i="163" a="1"/>
  <c r="I307" i="163" s="1"/>
  <c r="G184" i="163"/>
  <c r="G200" i="163"/>
  <c r="G36" i="163"/>
  <c r="G12" i="163"/>
  <c r="I244" i="163" a="1"/>
  <c r="I244" i="163" s="1"/>
  <c r="G308" i="163"/>
  <c r="I176" i="163" a="1"/>
  <c r="I176" i="163" s="1"/>
  <c r="C294" i="163"/>
  <c r="G217" i="163"/>
  <c r="G294" i="163"/>
  <c r="G190" i="163"/>
  <c r="C51" i="163"/>
  <c r="G51" i="163"/>
  <c r="C308" i="163"/>
  <c r="C280" i="163"/>
  <c r="G214" i="163"/>
  <c r="I200" i="163" a="1"/>
  <c r="I200" i="163" s="1"/>
  <c r="I214" i="163" a="1"/>
  <c r="I214" i="163" s="1"/>
  <c r="G220" i="163"/>
  <c r="G299" i="163"/>
  <c r="G236" i="163"/>
  <c r="G307" i="163"/>
  <c r="I127" i="163" a="1"/>
  <c r="I127" i="163" s="1"/>
  <c r="I12" i="163" a="1"/>
  <c r="I12" i="163" s="1"/>
  <c r="G93" i="163"/>
  <c r="I23" i="163" a="1"/>
  <c r="I23" i="163" s="1"/>
  <c r="G23" i="163"/>
  <c r="I9" i="163" a="1"/>
  <c r="I9" i="163" s="1"/>
  <c r="G9" i="163"/>
  <c r="C9" i="163"/>
  <c r="I106" i="163" a="1"/>
  <c r="I106" i="163" s="1"/>
  <c r="G106" i="163"/>
  <c r="G149" i="163"/>
  <c r="C179" i="163"/>
  <c r="G179" i="163"/>
  <c r="I179" i="163" a="1"/>
  <c r="I179" i="163" s="1"/>
  <c r="C194" i="163"/>
  <c r="G194" i="163"/>
  <c r="C232" i="163"/>
  <c r="I232" i="163" a="1"/>
  <c r="I232" i="163" s="1"/>
  <c r="G248" i="163"/>
  <c r="I296" i="163" a="1"/>
  <c r="I296" i="163" s="1"/>
  <c r="C296" i="163"/>
  <c r="G296" i="163"/>
  <c r="C157" i="163"/>
  <c r="I157" i="163" a="1"/>
  <c r="I157" i="163" s="1"/>
  <c r="I206" i="163" a="1"/>
  <c r="I206" i="163" s="1"/>
  <c r="G206" i="163"/>
  <c r="I221" i="163" a="1"/>
  <c r="I221" i="163" s="1"/>
  <c r="G221" i="163"/>
  <c r="C266" i="163"/>
  <c r="I266" i="163" a="1"/>
  <c r="I266" i="163" s="1"/>
  <c r="C297" i="163"/>
  <c r="I297" i="163" a="1"/>
  <c r="I297" i="163" s="1"/>
  <c r="C311" i="163"/>
  <c r="G311" i="163"/>
  <c r="C129" i="163"/>
  <c r="I129" i="163" a="1"/>
  <c r="I129" i="163" s="1"/>
  <c r="I158" i="163" a="1"/>
  <c r="I158" i="163" s="1"/>
  <c r="C158" i="163"/>
  <c r="C188" i="163"/>
  <c r="G188" i="163"/>
  <c r="I188" i="163" a="1"/>
  <c r="I188" i="163" s="1"/>
  <c r="G204" i="163"/>
  <c r="C218" i="163"/>
  <c r="I218" i="163" a="1"/>
  <c r="I218" i="163" s="1"/>
  <c r="C234" i="163"/>
  <c r="I234" i="163" a="1"/>
  <c r="I234" i="163" s="1"/>
  <c r="C250" i="163"/>
  <c r="I250" i="163" a="1"/>
  <c r="I250" i="163" s="1"/>
  <c r="C305" i="163"/>
  <c r="I305" i="163" a="1"/>
  <c r="I305" i="163" s="1"/>
  <c r="G305" i="163"/>
  <c r="I105" i="163" a="1"/>
  <c r="I105" i="163" s="1"/>
  <c r="C105" i="163"/>
  <c r="G105" i="163"/>
  <c r="I122" i="163" a="1"/>
  <c r="I122" i="163" s="1"/>
  <c r="G122" i="163"/>
  <c r="I219" i="163" a="1"/>
  <c r="I219" i="163" s="1"/>
  <c r="G219" i="163"/>
  <c r="C251" i="163"/>
  <c r="G251" i="163"/>
  <c r="C281" i="163"/>
  <c r="G281" i="163"/>
  <c r="I298" i="163" a="1"/>
  <c r="I298" i="163" s="1"/>
  <c r="G298" i="163"/>
  <c r="C298" i="163"/>
  <c r="C313" i="163"/>
  <c r="I313" i="163" a="1"/>
  <c r="I313" i="163" s="1"/>
  <c r="I77" i="163" a="1"/>
  <c r="I77" i="163" s="1"/>
  <c r="G77" i="163"/>
  <c r="I31" i="163" a="1"/>
  <c r="I31" i="163" s="1"/>
  <c r="G31" i="163"/>
  <c r="I11" i="163" a="1"/>
  <c r="I11" i="163" s="1"/>
  <c r="C11" i="163"/>
  <c r="C80" i="163"/>
  <c r="G80" i="163"/>
  <c r="G49" i="163"/>
  <c r="I24" i="163" a="1"/>
  <c r="I24" i="163" s="1"/>
  <c r="G24" i="163"/>
  <c r="C24" i="163"/>
  <c r="I32" i="163" a="1"/>
  <c r="I32" i="163" s="1"/>
  <c r="C32" i="163"/>
  <c r="G32" i="163"/>
  <c r="C216" i="163"/>
  <c r="G216" i="163"/>
  <c r="C92" i="163"/>
  <c r="G71" i="163"/>
  <c r="G47" i="163"/>
  <c r="I173" i="163" a="1"/>
  <c r="I173" i="163" s="1"/>
  <c r="C145" i="163"/>
  <c r="G129" i="163"/>
  <c r="C37" i="163"/>
  <c r="G218" i="163"/>
  <c r="C235" i="163"/>
  <c r="I164" i="163" a="1"/>
  <c r="I164" i="163" s="1"/>
  <c r="C122" i="163"/>
  <c r="I311" i="163" a="1"/>
  <c r="I311" i="163" s="1"/>
  <c r="G266" i="163"/>
  <c r="I216" i="163" a="1"/>
  <c r="I216" i="163" s="1"/>
  <c r="C52" i="163"/>
  <c r="G52" i="163"/>
  <c r="C106" i="163"/>
  <c r="I92" i="163" a="1"/>
  <c r="I92" i="163" s="1"/>
  <c r="G78" i="163"/>
  <c r="G62" i="163"/>
  <c r="G136" i="163"/>
  <c r="C136" i="163"/>
  <c r="G120" i="163"/>
  <c r="G112" i="163"/>
  <c r="G37" i="163"/>
  <c r="G297" i="163"/>
  <c r="G138" i="163"/>
  <c r="G265" i="163"/>
  <c r="G232" i="163"/>
  <c r="C284" i="163"/>
  <c r="G118" i="163"/>
  <c r="I283" i="163" a="1"/>
  <c r="I283" i="163" s="1"/>
  <c r="C285" i="163"/>
  <c r="G285" i="163"/>
  <c r="I314" i="163" a="1"/>
  <c r="I314" i="163" s="1"/>
  <c r="G314" i="163"/>
  <c r="I270" i="163" a="1"/>
  <c r="I270" i="163" s="1"/>
  <c r="C270" i="163"/>
  <c r="G270" i="163"/>
  <c r="C42" i="163"/>
  <c r="I42" i="163" a="1"/>
  <c r="I42" i="163" s="1"/>
  <c r="I28" i="163" a="1"/>
  <c r="I28" i="163" s="1"/>
  <c r="G74" i="163"/>
  <c r="G110" i="163"/>
  <c r="I26" i="163" a="1"/>
  <c r="I26" i="163" s="1"/>
  <c r="C26" i="163"/>
  <c r="G26" i="163"/>
  <c r="I113" i="163" a="1"/>
  <c r="I113" i="163" s="1"/>
  <c r="C113" i="163"/>
  <c r="I121" i="163" a="1"/>
  <c r="I121" i="163" s="1"/>
  <c r="C121" i="163"/>
  <c r="I150" i="163" a="1"/>
  <c r="I150" i="163" s="1"/>
  <c r="G150" i="163"/>
  <c r="C261" i="163"/>
  <c r="H259" i="163" s="1"/>
  <c r="I261" i="163" a="1"/>
  <c r="I261" i="163" s="1"/>
  <c r="C56" i="163"/>
  <c r="G56" i="163"/>
  <c r="I20" i="163" a="1"/>
  <c r="I20" i="163" s="1"/>
  <c r="C43" i="163"/>
  <c r="G269" i="163"/>
  <c r="I25" i="163" a="1"/>
  <c r="I25" i="163" s="1"/>
  <c r="C25" i="163"/>
  <c r="G25" i="163"/>
  <c r="C103" i="163"/>
  <c r="I103" i="163" a="1"/>
  <c r="I103" i="163" s="1"/>
  <c r="C262" i="163"/>
  <c r="I262" i="163" a="1"/>
  <c r="I262" i="163" s="1"/>
  <c r="C279" i="163"/>
  <c r="I279" i="163" a="1"/>
  <c r="I279" i="163" s="1"/>
  <c r="C119" i="163"/>
  <c r="I119" i="163" a="1"/>
  <c r="I119" i="163" s="1"/>
  <c r="C295" i="163"/>
  <c r="G295" i="163"/>
  <c r="I97" i="163" a="1"/>
  <c r="I97" i="163" s="1"/>
  <c r="C97" i="163"/>
  <c r="C83" i="163"/>
  <c r="I83" i="163" a="1"/>
  <c r="I83" i="163" s="1"/>
  <c r="H148" i="163" l="1"/>
  <c r="G10" i="171" a="1"/>
  <c r="G10" i="171" s="1"/>
  <c r="E31" i="171" a="1"/>
  <c r="E31" i="171" s="1"/>
  <c r="E24" i="171" a="1"/>
  <c r="E24" i="171" s="1"/>
  <c r="E26" i="171" a="1"/>
  <c r="E26" i="171" s="1"/>
  <c r="G18" i="171" a="1"/>
  <c r="G18" i="171" s="1"/>
  <c r="F19" i="171" a="1"/>
  <c r="F19" i="171" s="1"/>
  <c r="F16" i="171" a="1"/>
  <c r="F16" i="171" s="1"/>
  <c r="F31" i="171" a="1"/>
  <c r="F31" i="171" s="1"/>
  <c r="F3" i="171" a="1"/>
  <c r="F3" i="171" s="1"/>
  <c r="F9" i="171" a="1"/>
  <c r="F9" i="171" s="1"/>
  <c r="G3" i="171" a="1"/>
  <c r="G3" i="171" s="1"/>
  <c r="F4" i="171" a="1"/>
  <c r="F4" i="171" s="1"/>
  <c r="E30" i="171" a="1"/>
  <c r="E30" i="171" s="1"/>
  <c r="G31" i="171" a="1"/>
  <c r="G31" i="171" s="1"/>
  <c r="E29" i="171" a="1"/>
  <c r="E29" i="171" s="1"/>
  <c r="G8" i="171" a="1"/>
  <c r="G8" i="171" s="1"/>
  <c r="GO7" i="32" a="1"/>
  <c r="GO7" i="32" s="1"/>
  <c r="GO6" i="32" a="1"/>
  <c r="GO6" i="32" s="1"/>
  <c r="GO5" i="32" a="1"/>
  <c r="GO5" i="32" s="1"/>
  <c r="GO4" i="32" a="1"/>
  <c r="GO4" i="32" s="1"/>
  <c r="GO3" i="32" a="1"/>
  <c r="GO3" i="32" s="1"/>
  <c r="GO2" i="32" a="1"/>
  <c r="GO2" i="32" s="1"/>
  <c r="GV7" i="32" a="1"/>
  <c r="GV7" i="32" s="1"/>
  <c r="GU7" i="32" a="1"/>
  <c r="GU7" i="32" s="1"/>
  <c r="GS7" i="32" a="1"/>
  <c r="GS7" i="32" s="1"/>
  <c r="GV6" i="32" a="1"/>
  <c r="GV6" i="32" s="1"/>
  <c r="GU6" i="32" a="1"/>
  <c r="GU6" i="32" s="1"/>
  <c r="GS6" i="32" a="1"/>
  <c r="GS6" i="32" s="1"/>
  <c r="GV5" i="32" a="1"/>
  <c r="GV5" i="32" s="1"/>
  <c r="GU5" i="32" a="1"/>
  <c r="GU5" i="32" s="1"/>
  <c r="GS5" i="32" a="1"/>
  <c r="GS5" i="32" s="1"/>
  <c r="GV4" i="32" a="1"/>
  <c r="GV4" i="32" s="1"/>
  <c r="GU4" i="32" a="1"/>
  <c r="GU4" i="32" s="1"/>
  <c r="GS4" i="32" a="1"/>
  <c r="GS4" i="32" s="1"/>
  <c r="GV3" i="32" a="1"/>
  <c r="GV3" i="32" s="1"/>
  <c r="GU3" i="32" a="1"/>
  <c r="GU3" i="32" s="1"/>
  <c r="GS3" i="32" a="1"/>
  <c r="GS3" i="32" s="1"/>
  <c r="GS2" i="32" a="1"/>
  <c r="GS2" i="32" s="1"/>
  <c r="HF3" i="32" a="1"/>
  <c r="HF3" i="32" s="1"/>
  <c r="HG3" i="32" a="1"/>
  <c r="HG3" i="32" s="1"/>
  <c r="HF4" i="32" a="1"/>
  <c r="HF4" i="32" s="1"/>
  <c r="HG4" i="32" a="1"/>
  <c r="HG4" i="32" s="1"/>
  <c r="HF5" i="32" a="1"/>
  <c r="HF5" i="32" s="1"/>
  <c r="HG5" i="32" a="1"/>
  <c r="HG5" i="32" s="1"/>
  <c r="HF6" i="32" a="1"/>
  <c r="HF6" i="32" s="1"/>
  <c r="HG6" i="32" a="1"/>
  <c r="HG6" i="32" s="1"/>
  <c r="HF7" i="32" a="1"/>
  <c r="HF7" i="32" s="1"/>
  <c r="HG7" i="32" a="1"/>
  <c r="HG7" i="32" s="1"/>
  <c r="HG2" i="32" a="1"/>
  <c r="HG2" i="32" s="1"/>
  <c r="HF2" i="32" a="1"/>
  <c r="HF2" i="32" s="1"/>
  <c r="G14" i="171" l="1" a="1"/>
  <c r="G14" i="171" s="1"/>
  <c r="E28" i="171" a="1"/>
  <c r="E28" i="171" s="1"/>
  <c r="E10" i="171" a="1"/>
  <c r="E10" i="171" s="1"/>
  <c r="G13" i="171" a="1"/>
  <c r="G13" i="171" s="1"/>
  <c r="E8" i="171" a="1"/>
  <c r="E8" i="171" s="1"/>
  <c r="E14" i="171" a="1"/>
  <c r="E14" i="171" s="1"/>
  <c r="F28" i="171" a="1"/>
  <c r="F28" i="171" s="1"/>
  <c r="G16" i="171" a="1"/>
  <c r="G16" i="171" s="1"/>
  <c r="F13" i="171" a="1"/>
  <c r="F13" i="171" s="1"/>
  <c r="E3" i="171" a="1"/>
  <c r="E3" i="171" s="1"/>
  <c r="F14" i="171" a="1"/>
  <c r="F14" i="171" s="1"/>
  <c r="E13" i="171" a="1"/>
  <c r="E13" i="171" s="1"/>
  <c r="E23" i="171" a="1"/>
  <c r="E23" i="171" s="1"/>
  <c r="G28" i="171" a="1"/>
  <c r="G28" i="171" s="1"/>
  <c r="G11" i="171" a="1"/>
  <c r="G11" i="171" s="1"/>
  <c r="G27" i="171" a="1"/>
  <c r="G27" i="171" s="1"/>
  <c r="F18" i="171" a="1"/>
  <c r="F18" i="171" s="1"/>
  <c r="E15" i="171" a="1"/>
  <c r="E15" i="171" s="1"/>
  <c r="E27" i="171" a="1"/>
  <c r="E27" i="171" s="1"/>
  <c r="G9" i="171" a="1"/>
  <c r="G9" i="171" s="1"/>
  <c r="F25" i="171" a="1"/>
  <c r="F25" i="171" s="1"/>
  <c r="F23" i="171" a="1"/>
  <c r="F23" i="171" s="1"/>
  <c r="G19" i="171" a="1"/>
  <c r="G19" i="171" s="1"/>
  <c r="F11" i="171" a="1"/>
  <c r="F11" i="171" s="1"/>
  <c r="G5" i="171" a="1"/>
  <c r="G5" i="171" s="1"/>
  <c r="F10" i="171" a="1"/>
  <c r="F10" i="171" s="1"/>
  <c r="F27" i="171" a="1"/>
  <c r="F27" i="171" s="1"/>
  <c r="G26" i="171" a="1"/>
  <c r="G26" i="171" s="1"/>
  <c r="E20" i="171" a="1"/>
  <c r="E20" i="171" s="1"/>
  <c r="E7" i="171" a="1"/>
  <c r="E7" i="171" s="1"/>
  <c r="F20" i="171" a="1"/>
  <c r="F20" i="171" s="1"/>
  <c r="G17" i="171" a="1"/>
  <c r="G17" i="171" s="1"/>
  <c r="F17" i="171" a="1"/>
  <c r="F17" i="171" s="1"/>
  <c r="G23" i="171" a="1"/>
  <c r="G23" i="171" s="1"/>
  <c r="E4" i="171" a="1"/>
  <c r="E4" i="171" s="1"/>
  <c r="E19" i="171" a="1"/>
  <c r="E19" i="171" s="1"/>
  <c r="F15" i="171" a="1"/>
  <c r="F15" i="171" s="1"/>
  <c r="G29" i="171" a="1"/>
  <c r="G29" i="171" s="1"/>
  <c r="F21" i="171" a="1"/>
  <c r="F21" i="171" s="1"/>
  <c r="G6" i="171" a="1"/>
  <c r="G6" i="171" s="1"/>
  <c r="E9" i="171" a="1"/>
  <c r="E9" i="171" s="1"/>
  <c r="G4" i="171" a="1"/>
  <c r="G4" i="171" s="1"/>
  <c r="G7" i="171" a="1"/>
  <c r="G7" i="171" s="1"/>
  <c r="E5" i="171" a="1"/>
  <c r="E5" i="171" s="1"/>
  <c r="E16" i="171" a="1"/>
  <c r="E16" i="171" s="1"/>
  <c r="F30" i="171" a="1"/>
  <c r="F30" i="171" s="1"/>
  <c r="E18" i="171" a="1"/>
  <c r="E18" i="171" s="1"/>
  <c r="F7" i="171" a="1"/>
  <c r="F7" i="171" s="1"/>
  <c r="E11" i="171" a="1"/>
  <c r="E11" i="171" s="1"/>
  <c r="G21" i="171" a="1"/>
  <c r="G21" i="171" s="1"/>
  <c r="F29" i="171" a="1"/>
  <c r="F29" i="171" s="1"/>
  <c r="E25" i="171" a="1"/>
  <c r="E25" i="171" s="1"/>
  <c r="F8" i="171" a="1"/>
  <c r="F8" i="171" s="1"/>
  <c r="F24" i="171" a="1"/>
  <c r="F24" i="171" s="1"/>
  <c r="G20" i="171" a="1"/>
  <c r="G20" i="171" s="1"/>
  <c r="G30" i="171" a="1"/>
  <c r="G30" i="171" s="1"/>
  <c r="G15" i="171" a="1"/>
  <c r="G15" i="171" s="1"/>
  <c r="F6" i="171" a="1"/>
  <c r="F6" i="171" s="1"/>
  <c r="E6" i="171" a="1"/>
  <c r="E6" i="171" s="1"/>
  <c r="E21" i="171" a="1"/>
  <c r="E21" i="171" s="1"/>
  <c r="G25" i="171" a="1"/>
  <c r="G25" i="171" s="1"/>
  <c r="F5" i="171" a="1"/>
  <c r="F5" i="171" s="1"/>
  <c r="F26" i="171" a="1"/>
  <c r="F26" i="171" s="1"/>
  <c r="G24" i="171" a="1"/>
  <c r="G24" i="171" s="1"/>
  <c r="E17" i="171" a="1"/>
  <c r="E17" i="171" s="1"/>
  <c r="GW3" i="32"/>
  <c r="GW7" i="32"/>
  <c r="HH2" i="32"/>
  <c r="GW5" i="32"/>
  <c r="HH7" i="32"/>
  <c r="HH5" i="32"/>
  <c r="HH3" i="32"/>
  <c r="GW6" i="32"/>
  <c r="HH6" i="32"/>
  <c r="HH4" i="32"/>
  <c r="GW4" i="32"/>
  <c r="EV3" i="32"/>
  <c r="EV4" i="32"/>
  <c r="EV5" i="32"/>
  <c r="EV6" i="32"/>
  <c r="EV7" i="32"/>
  <c r="EV2" i="32"/>
  <c r="DM7" i="32"/>
  <c r="DM6" i="32"/>
  <c r="DM5" i="32"/>
  <c r="DM4" i="32"/>
  <c r="DM3" i="32"/>
  <c r="DM2" i="32"/>
  <c r="AH7" i="32"/>
  <c r="AH6" i="32"/>
  <c r="AH5" i="32"/>
  <c r="AH4" i="32"/>
  <c r="AH3" i="32"/>
  <c r="AH2" i="32"/>
  <c r="FF7" i="32"/>
  <c r="FE7" i="32"/>
  <c r="FD7" i="32"/>
  <c r="FC7" i="32"/>
  <c r="FB7" i="32"/>
  <c r="FA7" i="32"/>
  <c r="EB7" i="32"/>
  <c r="EA7" i="32"/>
  <c r="DZ7" i="32"/>
  <c r="DV7" i="32"/>
  <c r="DT7" i="32"/>
  <c r="DR7" i="32"/>
  <c r="AF7" i="32"/>
  <c r="AD7" i="32"/>
  <c r="AC7" i="32"/>
  <c r="Y7" i="32"/>
  <c r="X7" i="32"/>
  <c r="V7" i="32"/>
  <c r="S7" i="32"/>
  <c r="R7" i="32"/>
  <c r="AI7" i="32" s="1"/>
  <c r="Q7" i="32"/>
  <c r="P7" i="32"/>
  <c r="FF6" i="32"/>
  <c r="FE6" i="32"/>
  <c r="FD6" i="32"/>
  <c r="FC6" i="32"/>
  <c r="FB6" i="32"/>
  <c r="FA6" i="32"/>
  <c r="EB6" i="32"/>
  <c r="EA6" i="32"/>
  <c r="DZ6" i="32"/>
  <c r="DV6" i="32"/>
  <c r="DT6" i="32"/>
  <c r="DR6" i="32"/>
  <c r="AF6" i="32"/>
  <c r="AD6" i="32"/>
  <c r="AC6" i="32"/>
  <c r="Y6" i="32"/>
  <c r="X6" i="32"/>
  <c r="V6" i="32"/>
  <c r="S6" i="32"/>
  <c r="R6" i="32"/>
  <c r="AI6" i="32" s="1"/>
  <c r="Q6" i="32"/>
  <c r="P6" i="32"/>
  <c r="FF5" i="32"/>
  <c r="FE5" i="32"/>
  <c r="FD5" i="32"/>
  <c r="FC5" i="32"/>
  <c r="FB5" i="32"/>
  <c r="FA5" i="32"/>
  <c r="EB5" i="32"/>
  <c r="EA5" i="32"/>
  <c r="DZ5" i="32"/>
  <c r="DV5" i="32"/>
  <c r="DT5" i="32"/>
  <c r="DR5" i="32"/>
  <c r="AF5" i="32"/>
  <c r="AD5" i="32"/>
  <c r="AC5" i="32"/>
  <c r="Y5" i="32"/>
  <c r="X5" i="32"/>
  <c r="V5" i="32"/>
  <c r="S5" i="32"/>
  <c r="R5" i="32"/>
  <c r="AI5" i="32" s="1"/>
  <c r="Q5" i="32"/>
  <c r="P5" i="32"/>
  <c r="FF4" i="32"/>
  <c r="FE4" i="32"/>
  <c r="FD4" i="32"/>
  <c r="FC4" i="32"/>
  <c r="FB4" i="32"/>
  <c r="FA4" i="32"/>
  <c r="EB4" i="32"/>
  <c r="EA4" i="32"/>
  <c r="DZ4" i="32"/>
  <c r="DV4" i="32"/>
  <c r="DT4" i="32"/>
  <c r="DR4" i="32"/>
  <c r="AF4" i="32"/>
  <c r="AD4" i="32"/>
  <c r="AC4" i="32"/>
  <c r="Y4" i="32"/>
  <c r="X4" i="32"/>
  <c r="V4" i="32"/>
  <c r="S4" i="32"/>
  <c r="R4" i="32"/>
  <c r="AI4" i="32" s="1"/>
  <c r="Q4" i="32"/>
  <c r="P4" i="32"/>
  <c r="FF3" i="32"/>
  <c r="FE3" i="32"/>
  <c r="FD3" i="32"/>
  <c r="FC3" i="32"/>
  <c r="FB3" i="32"/>
  <c r="FA3" i="32"/>
  <c r="EB3" i="32"/>
  <c r="EA3" i="32"/>
  <c r="DZ3" i="32"/>
  <c r="DV3" i="32"/>
  <c r="DT3" i="32"/>
  <c r="DR3" i="32"/>
  <c r="AF3" i="32"/>
  <c r="AD3" i="32"/>
  <c r="AC3" i="32"/>
  <c r="Y3" i="32"/>
  <c r="X3" i="32"/>
  <c r="V3" i="32"/>
  <c r="S3" i="32"/>
  <c r="R3" i="32"/>
  <c r="AI3" i="32" s="1"/>
  <c r="Q3" i="32"/>
  <c r="P3" i="32"/>
  <c r="FF2" i="32"/>
  <c r="FE2" i="32"/>
  <c r="FD2" i="32"/>
  <c r="FC2" i="32"/>
  <c r="FB2" i="32"/>
  <c r="FA2" i="32"/>
  <c r="EB2" i="32"/>
  <c r="EA2" i="32"/>
  <c r="DZ2" i="32"/>
  <c r="DV2" i="32"/>
  <c r="DT2" i="32"/>
  <c r="DR2" i="32"/>
  <c r="AF2" i="32"/>
  <c r="AD2" i="32"/>
  <c r="AC2" i="32"/>
  <c r="Y2" i="32"/>
  <c r="X2" i="32"/>
  <c r="V2" i="32"/>
  <c r="S2" i="32"/>
  <c r="R2" i="32"/>
  <c r="AI2" i="32" s="1"/>
  <c r="Q2" i="32"/>
  <c r="P2" i="32"/>
  <c r="DY3" i="32" l="1"/>
  <c r="DW3" i="32"/>
  <c r="DX3" i="32"/>
  <c r="DX5" i="32"/>
  <c r="DY5" i="32"/>
  <c r="DW5" i="32"/>
  <c r="DY7" i="32"/>
  <c r="DW7" i="32"/>
  <c r="DX7" i="32"/>
  <c r="DX6" i="32"/>
  <c r="DW6" i="32"/>
  <c r="DY6" i="32"/>
  <c r="DX2" i="32"/>
  <c r="DY2" i="32"/>
  <c r="DW2" i="32"/>
  <c r="DY4" i="32"/>
  <c r="DW4" i="32"/>
  <c r="DX4" i="32"/>
  <c r="O4" i="32"/>
  <c r="O6" i="32"/>
  <c r="O2" i="32"/>
  <c r="O3" i="32"/>
  <c r="O7" i="32"/>
  <c r="O5" i="32"/>
  <c r="HJ2" i="32"/>
  <c r="HK2" i="32" s="1"/>
  <c r="HJ3" i="32"/>
  <c r="HL3" i="32" s="1" a="1"/>
  <c r="HL3" i="32" s="1"/>
  <c r="HM3" i="32" s="1"/>
  <c r="HJ4" i="32"/>
  <c r="HK4" i="32" s="1"/>
  <c r="HJ5" i="32"/>
  <c r="HL5" i="32" s="1" a="1"/>
  <c r="HL5" i="32" s="1"/>
  <c r="HM5" i="32" s="1"/>
  <c r="HJ6" i="32"/>
  <c r="HL6" i="32" s="1" a="1"/>
  <c r="HL6" i="32" s="1"/>
  <c r="HM6" i="32" s="1"/>
  <c r="HJ7" i="32"/>
  <c r="HL7" i="32" s="1" a="1"/>
  <c r="HL7" i="32" s="1"/>
  <c r="HM7" i="32" s="1"/>
  <c r="HI3" i="32" a="1"/>
  <c r="HI3" i="32" s="1"/>
  <c r="HI4" i="32" a="1"/>
  <c r="HI4" i="32" s="1"/>
  <c r="HI5" i="32" a="1"/>
  <c r="HI5" i="32" s="1"/>
  <c r="HI6" i="32" a="1"/>
  <c r="HI6" i="32" s="1"/>
  <c r="HI7" i="32" a="1"/>
  <c r="HI7" i="32" s="1"/>
  <c r="HI2" i="32" a="1"/>
  <c r="HI2" i="32" s="1"/>
  <c r="HD7" i="32" a="1"/>
  <c r="HD7" i="32" s="1"/>
  <c r="HD6" i="32" a="1"/>
  <c r="HD6" i="32" s="1"/>
  <c r="HD5" i="32" a="1"/>
  <c r="HD5" i="32" s="1"/>
  <c r="HD4" i="32" a="1"/>
  <c r="HD4" i="32" s="1"/>
  <c r="HD3" i="32" a="1"/>
  <c r="HD3" i="32" s="1"/>
  <c r="HD2" i="32" a="1"/>
  <c r="HD2" i="32" s="1"/>
  <c r="GI3" i="32"/>
  <c r="GJ3" i="32"/>
  <c r="GK3" i="32"/>
  <c r="GL3" i="32"/>
  <c r="GI4" i="32"/>
  <c r="GJ4" i="32"/>
  <c r="GK4" i="32"/>
  <c r="GL4" i="32"/>
  <c r="GI5" i="32"/>
  <c r="GJ5" i="32"/>
  <c r="GK5" i="32"/>
  <c r="GL5" i="32"/>
  <c r="GI6" i="32"/>
  <c r="GJ6" i="32"/>
  <c r="GK6" i="32"/>
  <c r="GL6" i="32"/>
  <c r="GI7" i="32"/>
  <c r="GJ7" i="32"/>
  <c r="GK7" i="32"/>
  <c r="GL7" i="32"/>
  <c r="GL2" i="32"/>
  <c r="GK2" i="32"/>
  <c r="GJ2" i="32"/>
  <c r="GI2" i="32"/>
  <c r="GG3" i="32"/>
  <c r="GH3" i="32"/>
  <c r="GG4" i="32"/>
  <c r="GH4" i="32"/>
  <c r="GG5" i="32"/>
  <c r="GH5" i="32"/>
  <c r="GG6" i="32"/>
  <c r="GH6" i="32"/>
  <c r="GG7" i="32"/>
  <c r="GH7" i="32"/>
  <c r="GH2" i="32"/>
  <c r="GG2" i="32"/>
  <c r="HK6" i="32" l="1"/>
  <c r="HL4" i="32" a="1"/>
  <c r="HL4" i="32" s="1"/>
  <c r="HM4" i="32" s="1"/>
  <c r="HK5" i="32"/>
  <c r="HL2" i="32" a="1"/>
  <c r="HL2" i="32" s="1"/>
  <c r="HM2" i="32" s="1"/>
  <c r="HK7" i="32"/>
  <c r="HK3" i="32"/>
  <c r="EZ3" i="32"/>
  <c r="GE3" i="32" s="1"/>
  <c r="EZ4" i="32"/>
  <c r="GE4" i="32" s="1"/>
  <c r="EZ5" i="32"/>
  <c r="GE5" i="32" s="1"/>
  <c r="EZ6" i="32"/>
  <c r="GE6" i="32" s="1"/>
  <c r="EZ7" i="32"/>
  <c r="GE7" i="32" s="1"/>
  <c r="EZ2" i="32"/>
  <c r="GE2" i="32" s="1"/>
  <c r="EJ3" i="32"/>
  <c r="EK3" i="32"/>
  <c r="EL3" i="32"/>
  <c r="EM3" i="32"/>
  <c r="EO3" i="32"/>
  <c r="EP3" i="32"/>
  <c r="EQ3" i="32"/>
  <c r="ER3" i="32"/>
  <c r="ES3" i="32"/>
  <c r="EU3" i="32"/>
  <c r="EW3" i="32"/>
  <c r="EX3" i="32"/>
  <c r="EJ4" i="32"/>
  <c r="EK4" i="32"/>
  <c r="EL4" i="32"/>
  <c r="EM4" i="32"/>
  <c r="EO4" i="32"/>
  <c r="EP4" i="32"/>
  <c r="EQ4" i="32"/>
  <c r="ER4" i="32"/>
  <c r="ES4" i="32"/>
  <c r="EU4" i="32"/>
  <c r="EW4" i="32"/>
  <c r="EX4" i="32"/>
  <c r="EJ5" i="32"/>
  <c r="EK5" i="32"/>
  <c r="EL5" i="32"/>
  <c r="EM5" i="32"/>
  <c r="EO5" i="32"/>
  <c r="EP5" i="32"/>
  <c r="EQ5" i="32"/>
  <c r="ER5" i="32"/>
  <c r="ES5" i="32"/>
  <c r="EU5" i="32"/>
  <c r="EW5" i="32"/>
  <c r="EX5" i="32"/>
  <c r="EJ6" i="32"/>
  <c r="EK6" i="32"/>
  <c r="EL6" i="32"/>
  <c r="EM6" i="32"/>
  <c r="EO6" i="32"/>
  <c r="EP6" i="32"/>
  <c r="EQ6" i="32"/>
  <c r="ER6" i="32"/>
  <c r="ES6" i="32"/>
  <c r="EU6" i="32"/>
  <c r="EW6" i="32"/>
  <c r="EX6" i="32"/>
  <c r="EJ7" i="32"/>
  <c r="EK7" i="32"/>
  <c r="EL7" i="32"/>
  <c r="EM7" i="32"/>
  <c r="EO7" i="32"/>
  <c r="EP7" i="32"/>
  <c r="EQ7" i="32"/>
  <c r="ER7" i="32"/>
  <c r="ES7" i="32"/>
  <c r="EU7" i="32"/>
  <c r="EW7" i="32"/>
  <c r="EX7" i="32"/>
  <c r="EX2" i="32"/>
  <c r="EW2" i="32"/>
  <c r="EU2" i="32"/>
  <c r="ES2" i="32"/>
  <c r="ER2" i="32"/>
  <c r="EQ2" i="32"/>
  <c r="EO2" i="32"/>
  <c r="EP2" i="32"/>
  <c r="EM2" i="32"/>
  <c r="EL2" i="32"/>
  <c r="EK2" i="32"/>
  <c r="EJ2" i="32"/>
  <c r="EI3" i="32"/>
  <c r="EI4" i="32"/>
  <c r="EI5" i="32"/>
  <c r="EI6" i="32"/>
  <c r="EI7" i="32"/>
  <c r="EI2" i="32"/>
  <c r="EH3" i="32"/>
  <c r="EH4" i="32"/>
  <c r="EH5" i="32"/>
  <c r="EH6" i="32"/>
  <c r="EH7" i="32"/>
  <c r="EH2" i="32"/>
  <c r="EF3" i="32"/>
  <c r="EF4" i="32"/>
  <c r="EF5" i="32"/>
  <c r="EF6" i="32"/>
  <c r="EF7" i="32"/>
  <c r="EF2" i="32"/>
  <c r="ED3" i="32"/>
  <c r="EE3" i="32"/>
  <c r="ED4" i="32"/>
  <c r="EE4" i="32"/>
  <c r="ED5" i="32"/>
  <c r="EE5" i="32"/>
  <c r="ED6" i="32"/>
  <c r="EE6" i="32"/>
  <c r="ED7" i="32"/>
  <c r="EE7" i="32"/>
  <c r="EE2" i="32"/>
  <c r="ED2" i="32"/>
  <c r="EC3" i="32"/>
  <c r="EC4" i="32"/>
  <c r="EC5" i="32"/>
  <c r="EC6" i="32"/>
  <c r="EC7" i="32"/>
  <c r="EC2" i="32"/>
  <c r="AG3" i="32"/>
  <c r="AG4" i="32"/>
  <c r="AG5" i="32"/>
  <c r="AG6" i="32"/>
  <c r="AG7" i="32"/>
  <c r="AG2" i="32"/>
  <c r="AE3" i="32"/>
  <c r="AE4" i="32"/>
  <c r="AE5" i="32"/>
  <c r="AE6" i="32"/>
  <c r="AE7" i="32"/>
  <c r="AE2" i="32"/>
  <c r="AA3" i="32"/>
  <c r="AB3" i="32" s="1"/>
  <c r="AA4" i="32"/>
  <c r="AB4" i="32" s="1"/>
  <c r="AA5" i="32"/>
  <c r="AB5" i="32" s="1"/>
  <c r="AA6" i="32"/>
  <c r="AB6" i="32" s="1"/>
  <c r="AA7" i="32"/>
  <c r="AB7" i="32" s="1"/>
  <c r="AA2" i="32"/>
  <c r="AB2" i="32" s="1"/>
  <c r="Z3" i="32"/>
  <c r="Z4" i="32"/>
  <c r="Z5" i="32"/>
  <c r="Z6" i="32"/>
  <c r="Z7" i="32"/>
  <c r="Z2" i="32"/>
  <c r="W3" i="32" l="1"/>
  <c r="W4" i="32"/>
  <c r="W5" i="32"/>
  <c r="W6" i="32"/>
  <c r="W7" i="32"/>
  <c r="W2" i="32"/>
  <c r="U2" i="32"/>
  <c r="U3" i="32"/>
  <c r="U7" i="32"/>
  <c r="C2" i="32"/>
  <c r="D2" i="32"/>
  <c r="E2" i="32"/>
  <c r="F2" i="32"/>
  <c r="G2" i="32"/>
  <c r="H2" i="32"/>
  <c r="I2" i="32"/>
  <c r="K2" i="32" a="1"/>
  <c r="K2" i="32" s="1"/>
  <c r="L2" i="32" a="1"/>
  <c r="L2" i="32" s="1"/>
  <c r="C3" i="32"/>
  <c r="D3" i="32"/>
  <c r="E3" i="32"/>
  <c r="G3" i="32"/>
  <c r="H3" i="32"/>
  <c r="I3" i="32"/>
  <c r="K3" i="32" a="1"/>
  <c r="K3" i="32" s="1"/>
  <c r="L3" i="32" a="1"/>
  <c r="L3" i="32" s="1"/>
  <c r="M3" i="32" s="1"/>
  <c r="C4" i="32"/>
  <c r="D4" i="32"/>
  <c r="E4" i="32"/>
  <c r="G4" i="32"/>
  <c r="H4" i="32"/>
  <c r="I4" i="32"/>
  <c r="K4" i="32" a="1"/>
  <c r="K4" i="32" s="1"/>
  <c r="L4" i="32" a="1"/>
  <c r="L4" i="32" s="1"/>
  <c r="M4" i="32" s="1"/>
  <c r="C5" i="32"/>
  <c r="D5" i="32"/>
  <c r="E5" i="32"/>
  <c r="G5" i="32"/>
  <c r="H5" i="32"/>
  <c r="I5" i="32"/>
  <c r="K5" i="32" a="1"/>
  <c r="K5" i="32" s="1"/>
  <c r="L5" i="32" a="1"/>
  <c r="L5" i="32" s="1"/>
  <c r="M5" i="32" s="1"/>
  <c r="C6" i="32"/>
  <c r="D6" i="32"/>
  <c r="E6" i="32"/>
  <c r="G6" i="32"/>
  <c r="H6" i="32"/>
  <c r="I6" i="32"/>
  <c r="K6" i="32" a="1"/>
  <c r="K6" i="32" s="1"/>
  <c r="L6" i="32" a="1"/>
  <c r="L6" i="32" s="1"/>
  <c r="M6" i="32" s="1"/>
  <c r="C7" i="32"/>
  <c r="D7" i="32"/>
  <c r="E7" i="32"/>
  <c r="G7" i="32"/>
  <c r="H7" i="32"/>
  <c r="I7" i="32"/>
  <c r="K7" i="32" a="1"/>
  <c r="K7" i="32" s="1"/>
  <c r="L7" i="32" a="1"/>
  <c r="L7" i="32" s="1"/>
  <c r="M7" i="32" s="1"/>
  <c r="I30" i="1"/>
  <c r="B30" i="1" s="1"/>
  <c r="D19" i="1"/>
  <c r="B19" i="1"/>
  <c r="A1" i="184" l="1" a="1"/>
  <c r="A1" i="184" s="1"/>
  <c r="A1" i="182" a="1"/>
  <c r="A1" i="182" s="1"/>
  <c r="A1" i="175" a="1"/>
  <c r="A1" i="175" s="1"/>
  <c r="A1" i="174" a="1"/>
  <c r="A1" i="174" s="1"/>
  <c r="A1" i="173" a="1"/>
  <c r="A1" i="173" s="1"/>
  <c r="A1" i="172" a="1"/>
  <c r="A1" i="172" s="1"/>
  <c r="A1" i="177" a="1"/>
  <c r="A1" i="177" s="1"/>
  <c r="A1" i="176" a="1"/>
  <c r="A1" i="176" s="1"/>
  <c r="A1" i="165" a="1"/>
  <c r="A1" i="165" s="1"/>
  <c r="U4" i="32"/>
  <c r="DL6" i="32"/>
  <c r="T6" i="32"/>
  <c r="DL5" i="32"/>
  <c r="T5" i="32"/>
  <c r="DL2" i="32"/>
  <c r="A2" i="175" s="1" a="1"/>
  <c r="A2" i="175" s="1"/>
  <c r="DL4" i="32"/>
  <c r="T2" i="32"/>
  <c r="T4" i="32"/>
  <c r="U6" i="32"/>
  <c r="DL7" i="32"/>
  <c r="DL3" i="32"/>
  <c r="T7" i="32"/>
  <c r="T3" i="32"/>
  <c r="U5" i="32"/>
  <c r="M2" i="32"/>
  <c r="N2" i="32"/>
  <c r="N7" i="32"/>
  <c r="N5" i="32"/>
  <c r="N4" i="32"/>
  <c r="N3" i="32"/>
  <c r="N6" i="32"/>
  <c r="F6" i="164"/>
  <c r="E6" i="164"/>
  <c r="D6" i="164"/>
  <c r="C6" i="164"/>
  <c r="B6" i="164"/>
  <c r="H13" i="168"/>
  <c r="H12" i="168"/>
  <c r="H10" i="168"/>
  <c r="H9" i="168"/>
  <c r="E15" i="168" a="1"/>
  <c r="E15" i="168" s="1"/>
  <c r="I15" i="168" s="1"/>
  <c r="F8" i="168" a="1"/>
  <c r="F8" i="168" s="1"/>
  <c r="F9" i="168" a="1"/>
  <c r="F9" i="168" s="1"/>
  <c r="F11" i="168" a="1"/>
  <c r="F11" i="168" s="1"/>
  <c r="E12" i="168" a="1"/>
  <c r="E12" i="168" s="1"/>
  <c r="F12" i="168" a="1"/>
  <c r="F12" i="168" s="1"/>
  <c r="F13" i="168" a="1"/>
  <c r="F13" i="168" s="1"/>
  <c r="F14" i="168" a="1"/>
  <c r="F14" i="168" s="1"/>
  <c r="F16" i="168" a="1"/>
  <c r="F16" i="168" s="1"/>
  <c r="F6" i="168" a="1"/>
  <c r="F6" i="168" s="1"/>
  <c r="F7" i="168" a="1"/>
  <c r="F7" i="168" s="1"/>
  <c r="E5" i="168" a="1"/>
  <c r="E5" i="168" s="1"/>
  <c r="I5" i="168" s="1"/>
  <c r="F5" i="168" a="1"/>
  <c r="F5" i="168" s="1"/>
  <c r="G16" i="70"/>
  <c r="F16" i="70"/>
  <c r="G15" i="70"/>
  <c r="F15" i="70"/>
  <c r="E15" i="70"/>
  <c r="E5" i="70"/>
  <c r="U12" i="69"/>
  <c r="T12" i="69"/>
  <c r="R12" i="69"/>
  <c r="U6" i="69"/>
  <c r="T6" i="69"/>
  <c r="O17" i="69"/>
  <c r="N17" i="69"/>
  <c r="L17" i="69"/>
  <c r="O6" i="69"/>
  <c r="N6" i="69"/>
  <c r="A6" i="69"/>
  <c r="A7" i="69"/>
  <c r="A8" i="69"/>
  <c r="A9" i="69"/>
  <c r="A10" i="69"/>
  <c r="A11" i="69"/>
  <c r="A12" i="69"/>
  <c r="A13" i="69"/>
  <c r="A14" i="69"/>
  <c r="A15" i="69"/>
  <c r="A16" i="69"/>
  <c r="A17" i="69"/>
  <c r="A18" i="69"/>
  <c r="A19" i="69"/>
  <c r="A20" i="69"/>
  <c r="A5" i="69"/>
  <c r="I20" i="69"/>
  <c r="H20" i="69"/>
  <c r="F20" i="69"/>
  <c r="I6" i="69"/>
  <c r="H6" i="69"/>
  <c r="A2" i="184" l="1" a="1"/>
  <c r="A2" i="184" s="1"/>
  <c r="A2" i="182" a="1"/>
  <c r="A2" i="182" s="1"/>
  <c r="A2" i="181" a="1"/>
  <c r="A2" i="181" s="1"/>
  <c r="A2" i="177" a="1"/>
  <c r="A2" i="177" s="1"/>
  <c r="A2" i="172" a="1"/>
  <c r="A2" i="172" s="1"/>
  <c r="A2" i="173" a="1"/>
  <c r="A2" i="173" s="1"/>
  <c r="A2" i="174" a="1"/>
  <c r="A2" i="174" s="1"/>
  <c r="A2" i="176" a="1"/>
  <c r="A2" i="176" s="1"/>
  <c r="B15" i="70"/>
  <c r="B16" i="70"/>
  <c r="E16" i="168" a="1"/>
  <c r="E16" i="168" s="1"/>
  <c r="I16" i="168" s="1"/>
  <c r="B29" i="165" l="1"/>
  <c r="B27" i="165"/>
  <c r="B25" i="165"/>
  <c r="B22" i="165"/>
  <c r="K4" i="165"/>
  <c r="J4" i="165"/>
  <c r="E4" i="167"/>
  <c r="D4" i="167"/>
  <c r="G4" i="166"/>
  <c r="F4" i="166"/>
  <c r="A70" i="167"/>
  <c r="A69" i="167"/>
  <c r="A68" i="167"/>
  <c r="A67" i="167"/>
  <c r="A66" i="167"/>
  <c r="A65" i="167"/>
  <c r="A64" i="167"/>
  <c r="A63" i="167"/>
  <c r="A62" i="167"/>
  <c r="A61" i="167"/>
  <c r="A60" i="167"/>
  <c r="A59" i="167"/>
  <c r="A58" i="167"/>
  <c r="A57" i="167"/>
  <c r="A56" i="167"/>
  <c r="A55" i="167"/>
  <c r="A54" i="167"/>
  <c r="A53" i="167"/>
  <c r="A52" i="167"/>
  <c r="A51" i="167"/>
  <c r="A50" i="167"/>
  <c r="A49" i="167"/>
  <c r="A48" i="167"/>
  <c r="A47" i="167"/>
  <c r="A46" i="167"/>
  <c r="A45" i="167"/>
  <c r="A44" i="167"/>
  <c r="A43" i="167"/>
  <c r="A42" i="167"/>
  <c r="A41" i="167"/>
  <c r="A40" i="167"/>
  <c r="A39" i="167"/>
  <c r="A38" i="167"/>
  <c r="A37" i="167"/>
  <c r="A36" i="167"/>
  <c r="A35" i="167"/>
  <c r="A34" i="167"/>
  <c r="A33" i="167"/>
  <c r="A32" i="167"/>
  <c r="A31" i="167"/>
  <c r="A30" i="167"/>
  <c r="A29" i="167"/>
  <c r="A28" i="167"/>
  <c r="A27" i="167"/>
  <c r="A26" i="167"/>
  <c r="A25" i="167"/>
  <c r="A24" i="167"/>
  <c r="A23" i="167"/>
  <c r="A22" i="167"/>
  <c r="A21" i="167"/>
  <c r="A20" i="167"/>
  <c r="A19" i="167"/>
  <c r="A18" i="167"/>
  <c r="A17" i="167"/>
  <c r="A16" i="167"/>
  <c r="A15" i="167"/>
  <c r="A14" i="167"/>
  <c r="A13" i="167"/>
  <c r="A12" i="167"/>
  <c r="A11" i="167"/>
  <c r="B9" i="167"/>
  <c r="A9" i="167"/>
  <c r="A8" i="167"/>
  <c r="D6" i="167"/>
  <c r="A130" i="166"/>
  <c r="A129" i="166"/>
  <c r="A128" i="166"/>
  <c r="A127" i="166"/>
  <c r="A126" i="166"/>
  <c r="A125" i="166"/>
  <c r="A124" i="166"/>
  <c r="A123" i="166"/>
  <c r="A122" i="166"/>
  <c r="A121" i="166"/>
  <c r="A120" i="166"/>
  <c r="A119" i="166"/>
  <c r="A118" i="166"/>
  <c r="A117" i="166"/>
  <c r="A116" i="166"/>
  <c r="A115" i="166"/>
  <c r="A114" i="166"/>
  <c r="A113" i="166"/>
  <c r="A112" i="166"/>
  <c r="A111" i="166"/>
  <c r="A110" i="166"/>
  <c r="A109" i="166"/>
  <c r="A108" i="166"/>
  <c r="A107" i="166"/>
  <c r="A106" i="166"/>
  <c r="A105" i="166"/>
  <c r="A104" i="166"/>
  <c r="A103" i="166"/>
  <c r="A102" i="166"/>
  <c r="A101" i="166"/>
  <c r="A100" i="166"/>
  <c r="A99" i="166"/>
  <c r="A98" i="166"/>
  <c r="A97" i="166"/>
  <c r="A96" i="166"/>
  <c r="A95" i="166"/>
  <c r="A94" i="166"/>
  <c r="A93" i="166"/>
  <c r="A92" i="166"/>
  <c r="A91" i="166"/>
  <c r="A90" i="166"/>
  <c r="A89" i="166"/>
  <c r="A88" i="166"/>
  <c r="A87" i="166"/>
  <c r="A86" i="166"/>
  <c r="A85" i="166"/>
  <c r="A84" i="166"/>
  <c r="A83" i="166"/>
  <c r="A82" i="166"/>
  <c r="A81" i="166"/>
  <c r="A80" i="166"/>
  <c r="A79" i="166"/>
  <c r="A78" i="166"/>
  <c r="A77" i="166"/>
  <c r="A76" i="166"/>
  <c r="A75" i="166"/>
  <c r="A74" i="166"/>
  <c r="A73" i="166"/>
  <c r="A72" i="166"/>
  <c r="A71" i="166"/>
  <c r="A70" i="166"/>
  <c r="A69" i="166"/>
  <c r="A68" i="166"/>
  <c r="A67" i="166"/>
  <c r="A66" i="166"/>
  <c r="A65" i="166"/>
  <c r="A64" i="166"/>
  <c r="A63" i="166"/>
  <c r="A62" i="166"/>
  <c r="A61" i="166"/>
  <c r="A60" i="166"/>
  <c r="A59" i="166"/>
  <c r="A58" i="166"/>
  <c r="A57" i="166"/>
  <c r="A56" i="166"/>
  <c r="A55" i="166"/>
  <c r="A54" i="166"/>
  <c r="A53" i="166"/>
  <c r="A52" i="166"/>
  <c r="A51" i="166"/>
  <c r="A50" i="166"/>
  <c r="A49" i="166"/>
  <c r="A48" i="166"/>
  <c r="A47" i="166"/>
  <c r="A46" i="166"/>
  <c r="A45" i="166"/>
  <c r="A44" i="166"/>
  <c r="A43" i="166"/>
  <c r="A42" i="166"/>
  <c r="A41" i="166"/>
  <c r="A40" i="166"/>
  <c r="A39" i="166"/>
  <c r="A38" i="166"/>
  <c r="A37" i="166"/>
  <c r="A36" i="166"/>
  <c r="A35" i="166"/>
  <c r="A34" i="166"/>
  <c r="A33" i="166"/>
  <c r="A32" i="166"/>
  <c r="A31" i="166"/>
  <c r="A30" i="166"/>
  <c r="A29" i="166"/>
  <c r="A28" i="166"/>
  <c r="A27" i="166"/>
  <c r="A26" i="166"/>
  <c r="A25" i="166"/>
  <c r="A24" i="166"/>
  <c r="A23" i="166"/>
  <c r="A22" i="166"/>
  <c r="A21" i="166"/>
  <c r="A20" i="166"/>
  <c r="A19" i="166"/>
  <c r="A18" i="166"/>
  <c r="A17" i="166"/>
  <c r="A16" i="166"/>
  <c r="A15" i="166"/>
  <c r="A14" i="166"/>
  <c r="A13" i="166"/>
  <c r="A12" i="166"/>
  <c r="A11" i="166"/>
  <c r="D180" i="165"/>
  <c r="D179" i="165"/>
  <c r="D178" i="165"/>
  <c r="D177" i="165"/>
  <c r="D176" i="165"/>
  <c r="D175" i="165"/>
  <c r="D174" i="165"/>
  <c r="D173" i="165"/>
  <c r="D172" i="165"/>
  <c r="D171" i="165"/>
  <c r="D170" i="165"/>
  <c r="D168" i="165"/>
  <c r="D167" i="165"/>
  <c r="D166" i="165"/>
  <c r="D165" i="165"/>
  <c r="D164" i="165"/>
  <c r="D163" i="165"/>
  <c r="D162" i="165"/>
  <c r="D161" i="165"/>
  <c r="D160" i="165"/>
  <c r="D159" i="165"/>
  <c r="D158" i="165"/>
  <c r="D156" i="165"/>
  <c r="D155" i="165"/>
  <c r="D154" i="165"/>
  <c r="D153" i="165"/>
  <c r="D152" i="165"/>
  <c r="D151" i="165"/>
  <c r="D150" i="165"/>
  <c r="D149" i="165"/>
  <c r="D148" i="165"/>
  <c r="D147" i="165"/>
  <c r="D146" i="165"/>
  <c r="D144" i="165"/>
  <c r="D143" i="165"/>
  <c r="D142" i="165"/>
  <c r="D141" i="165"/>
  <c r="D140" i="165"/>
  <c r="D139" i="165"/>
  <c r="D138" i="165"/>
  <c r="D137" i="165"/>
  <c r="D136" i="165"/>
  <c r="D135" i="165"/>
  <c r="D134" i="165"/>
  <c r="D132" i="165"/>
  <c r="D131" i="165"/>
  <c r="D130" i="165"/>
  <c r="D129" i="165"/>
  <c r="D128" i="165"/>
  <c r="D127" i="165"/>
  <c r="D126" i="165"/>
  <c r="D125" i="165"/>
  <c r="D124" i="165"/>
  <c r="D123" i="165"/>
  <c r="D122" i="165"/>
  <c r="D120" i="165"/>
  <c r="D119" i="165"/>
  <c r="D118" i="165"/>
  <c r="D117" i="165"/>
  <c r="D116" i="165"/>
  <c r="D115" i="165"/>
  <c r="D114" i="165"/>
  <c r="D113" i="165"/>
  <c r="D112" i="165"/>
  <c r="D111" i="165"/>
  <c r="D110" i="165"/>
  <c r="D108" i="165"/>
  <c r="D107" i="165"/>
  <c r="D106" i="165"/>
  <c r="D105" i="165"/>
  <c r="D104" i="165"/>
  <c r="D103" i="165"/>
  <c r="D102" i="165"/>
  <c r="D101" i="165"/>
  <c r="D100" i="165"/>
  <c r="D99" i="165"/>
  <c r="D98" i="165"/>
  <c r="D96" i="165"/>
  <c r="D95" i="165"/>
  <c r="D94" i="165"/>
  <c r="D93" i="165"/>
  <c r="D92" i="165"/>
  <c r="D91" i="165"/>
  <c r="D90" i="165"/>
  <c r="D89" i="165"/>
  <c r="D88" i="165"/>
  <c r="D87" i="165"/>
  <c r="D86" i="165"/>
  <c r="D84" i="165"/>
  <c r="D83" i="165"/>
  <c r="D82" i="165"/>
  <c r="D81" i="165"/>
  <c r="D80" i="165"/>
  <c r="D79" i="165"/>
  <c r="D78" i="165"/>
  <c r="D77" i="165"/>
  <c r="D76" i="165"/>
  <c r="D75" i="165"/>
  <c r="D74" i="165"/>
  <c r="D72" i="165"/>
  <c r="D71" i="165"/>
  <c r="D70" i="165"/>
  <c r="D69" i="165"/>
  <c r="D68" i="165"/>
  <c r="D67" i="165"/>
  <c r="D66" i="165"/>
  <c r="D65" i="165"/>
  <c r="D64" i="165"/>
  <c r="D63" i="165"/>
  <c r="D62" i="165"/>
  <c r="D60" i="165"/>
  <c r="D59" i="165"/>
  <c r="D58" i="165"/>
  <c r="D57" i="165"/>
  <c r="D56" i="165"/>
  <c r="D55" i="165"/>
  <c r="D54" i="165"/>
  <c r="D53" i="165"/>
  <c r="D52" i="165"/>
  <c r="D51" i="165"/>
  <c r="D50" i="165"/>
  <c r="D48" i="165"/>
  <c r="D47" i="165"/>
  <c r="D46" i="165"/>
  <c r="D45" i="165"/>
  <c r="D44" i="165"/>
  <c r="D43" i="165"/>
  <c r="D42" i="165"/>
  <c r="D41" i="165"/>
  <c r="D40" i="165"/>
  <c r="D39" i="165"/>
  <c r="D38" i="165"/>
  <c r="D36" i="165"/>
  <c r="D35" i="165"/>
  <c r="D34" i="165"/>
  <c r="D33" i="165"/>
  <c r="D32" i="165"/>
  <c r="D31" i="165"/>
  <c r="D30" i="165"/>
  <c r="D29" i="165"/>
  <c r="D28" i="165"/>
  <c r="D27" i="165"/>
  <c r="D26" i="165"/>
  <c r="D25" i="165"/>
  <c r="D24" i="165"/>
  <c r="D23" i="165"/>
  <c r="D22" i="165"/>
  <c r="A6" i="165"/>
  <c r="E204" i="1"/>
  <c r="E187" i="1"/>
  <c r="E170" i="1"/>
  <c r="E153" i="1"/>
  <c r="E136" i="1"/>
  <c r="D28" i="1"/>
  <c r="B4" i="165" l="1"/>
  <c r="B6" i="165"/>
  <c r="B4" i="167"/>
  <c r="B6" i="167"/>
  <c r="B6" i="166"/>
  <c r="B4" i="166"/>
  <c r="D17" i="1"/>
  <c r="I5" i="2"/>
  <c r="I8" i="2"/>
  <c r="I9" i="2"/>
  <c r="I10" i="2"/>
  <c r="I11" i="2"/>
  <c r="I12" i="2"/>
  <c r="I13" i="2"/>
  <c r="I14" i="2"/>
  <c r="I17" i="2"/>
  <c r="I24" i="2"/>
  <c r="I25" i="2"/>
  <c r="I26" i="2"/>
  <c r="I27" i="2"/>
  <c r="I28" i="2"/>
  <c r="I29" i="2"/>
  <c r="I30" i="2"/>
  <c r="I31" i="2"/>
  <c r="I32" i="2"/>
  <c r="I33" i="2"/>
  <c r="I36" i="2"/>
  <c r="I37" i="2"/>
  <c r="I41" i="2"/>
  <c r="I42" i="2"/>
  <c r="I43" i="2"/>
  <c r="I47" i="2"/>
  <c r="I50" i="2"/>
  <c r="I49" i="2"/>
  <c r="I51" i="2"/>
  <c r="I4" i="2"/>
  <c r="F5" i="164"/>
  <c r="E5" i="164"/>
  <c r="D5" i="164"/>
  <c r="C5" i="164"/>
  <c r="B5" i="164"/>
  <c r="O314" i="163"/>
  <c r="A314" i="163"/>
  <c r="O313" i="163"/>
  <c r="A313" i="163"/>
  <c r="O312" i="163"/>
  <c r="A312" i="163"/>
  <c r="O311" i="163"/>
  <c r="A311" i="163"/>
  <c r="O310" i="163"/>
  <c r="A310" i="163"/>
  <c r="O309" i="163"/>
  <c r="A309" i="163"/>
  <c r="O308" i="163"/>
  <c r="A308" i="163"/>
  <c r="O307" i="163"/>
  <c r="A307" i="163"/>
  <c r="O306" i="163"/>
  <c r="A306" i="163"/>
  <c r="O305" i="163"/>
  <c r="A305" i="163"/>
  <c r="A304" i="163"/>
  <c r="O303" i="163"/>
  <c r="A303" i="163"/>
  <c r="O302" i="163"/>
  <c r="A302" i="163"/>
  <c r="O301" i="163"/>
  <c r="A301" i="163"/>
  <c r="O300" i="163"/>
  <c r="A300" i="163"/>
  <c r="O299" i="163"/>
  <c r="A299" i="163"/>
  <c r="O298" i="163"/>
  <c r="A298" i="163"/>
  <c r="O297" i="163"/>
  <c r="A297" i="163"/>
  <c r="O296" i="163"/>
  <c r="A296" i="163"/>
  <c r="O295" i="163"/>
  <c r="A295" i="163"/>
  <c r="O294" i="163"/>
  <c r="A294" i="163"/>
  <c r="A293" i="163"/>
  <c r="O292" i="163"/>
  <c r="A292" i="163"/>
  <c r="O291" i="163"/>
  <c r="A291" i="163"/>
  <c r="O290" i="163"/>
  <c r="A290" i="163"/>
  <c r="O289" i="163"/>
  <c r="A289" i="163"/>
  <c r="O288" i="163"/>
  <c r="A288" i="163"/>
  <c r="O287" i="163"/>
  <c r="A287" i="163"/>
  <c r="O286" i="163"/>
  <c r="A286" i="163"/>
  <c r="O285" i="163"/>
  <c r="A285" i="163"/>
  <c r="O284" i="163"/>
  <c r="A284" i="163"/>
  <c r="O283" i="163"/>
  <c r="A283" i="163"/>
  <c r="A282" i="163"/>
  <c r="O281" i="163"/>
  <c r="A281" i="163"/>
  <c r="O280" i="163"/>
  <c r="A280" i="163"/>
  <c r="O279" i="163"/>
  <c r="A279" i="163"/>
  <c r="O278" i="163"/>
  <c r="A278" i="163"/>
  <c r="O277" i="163"/>
  <c r="A277" i="163"/>
  <c r="O276" i="163"/>
  <c r="A276" i="163"/>
  <c r="O275" i="163"/>
  <c r="A275" i="163"/>
  <c r="O274" i="163"/>
  <c r="A274" i="163"/>
  <c r="O273" i="163"/>
  <c r="A273" i="163"/>
  <c r="O272" i="163"/>
  <c r="A272" i="163"/>
  <c r="A271" i="163"/>
  <c r="O270" i="163"/>
  <c r="A270" i="163"/>
  <c r="O269" i="163"/>
  <c r="A269" i="163"/>
  <c r="O268" i="163"/>
  <c r="A268" i="163"/>
  <c r="O267" i="163"/>
  <c r="A267" i="163"/>
  <c r="O266" i="163"/>
  <c r="A266" i="163"/>
  <c r="O265" i="163"/>
  <c r="A265" i="163"/>
  <c r="O264" i="163"/>
  <c r="A264" i="163"/>
  <c r="O263" i="163"/>
  <c r="A263" i="163"/>
  <c r="O262" i="163"/>
  <c r="A262" i="163"/>
  <c r="O261" i="163"/>
  <c r="A261" i="163"/>
  <c r="A260" i="163"/>
  <c r="O259" i="163"/>
  <c r="A259" i="163"/>
  <c r="O258" i="163"/>
  <c r="A258" i="163"/>
  <c r="O257" i="163"/>
  <c r="A257" i="163"/>
  <c r="O256" i="163"/>
  <c r="A256" i="163"/>
  <c r="O255" i="163"/>
  <c r="A255" i="163"/>
  <c r="O254" i="163"/>
  <c r="A254" i="163"/>
  <c r="O253" i="163"/>
  <c r="A253" i="163"/>
  <c r="O252" i="163"/>
  <c r="A252" i="163"/>
  <c r="O251" i="163"/>
  <c r="A251" i="163"/>
  <c r="O250" i="163"/>
  <c r="A250" i="163"/>
  <c r="O249" i="163"/>
  <c r="A249" i="163"/>
  <c r="A248" i="163"/>
  <c r="O247" i="163"/>
  <c r="A247" i="163"/>
  <c r="O246" i="163"/>
  <c r="A246" i="163"/>
  <c r="O245" i="163"/>
  <c r="A245" i="163"/>
  <c r="O244" i="163"/>
  <c r="A244" i="163"/>
  <c r="O243" i="163"/>
  <c r="A243" i="163"/>
  <c r="O242" i="163"/>
  <c r="A242" i="163"/>
  <c r="O241" i="163"/>
  <c r="A241" i="163"/>
  <c r="O240" i="163"/>
  <c r="A240" i="163"/>
  <c r="O239" i="163"/>
  <c r="A239" i="163"/>
  <c r="O238" i="163"/>
  <c r="A238" i="163"/>
  <c r="A237" i="163"/>
  <c r="O236" i="163"/>
  <c r="A236" i="163"/>
  <c r="O235" i="163"/>
  <c r="A235" i="163"/>
  <c r="O234" i="163"/>
  <c r="A234" i="163"/>
  <c r="O233" i="163"/>
  <c r="A233" i="163"/>
  <c r="O232" i="163"/>
  <c r="A232" i="163"/>
  <c r="O231" i="163"/>
  <c r="A231" i="163"/>
  <c r="O230" i="163"/>
  <c r="A230" i="163"/>
  <c r="O229" i="163"/>
  <c r="A229" i="163"/>
  <c r="O228" i="163"/>
  <c r="A228" i="163"/>
  <c r="O227" i="163"/>
  <c r="A227" i="163"/>
  <c r="A226" i="163"/>
  <c r="O225" i="163"/>
  <c r="A225" i="163"/>
  <c r="O224" i="163"/>
  <c r="A224" i="163"/>
  <c r="O223" i="163"/>
  <c r="A223" i="163"/>
  <c r="O222" i="163"/>
  <c r="A222" i="163"/>
  <c r="O221" i="163"/>
  <c r="A221" i="163"/>
  <c r="O220" i="163"/>
  <c r="A220" i="163"/>
  <c r="O219" i="163"/>
  <c r="A219" i="163"/>
  <c r="O218" i="163"/>
  <c r="A218" i="163"/>
  <c r="O217" i="163"/>
  <c r="A217" i="163"/>
  <c r="O216" i="163"/>
  <c r="A216" i="163"/>
  <c r="A215" i="163"/>
  <c r="O214" i="163"/>
  <c r="A214" i="163"/>
  <c r="O213" i="163"/>
  <c r="A213" i="163"/>
  <c r="O212" i="163"/>
  <c r="A212" i="163"/>
  <c r="O211" i="163"/>
  <c r="A211" i="163"/>
  <c r="O210" i="163"/>
  <c r="A210" i="163"/>
  <c r="O209" i="163"/>
  <c r="A209" i="163"/>
  <c r="O208" i="163"/>
  <c r="A208" i="163"/>
  <c r="O207" i="163"/>
  <c r="A207" i="163"/>
  <c r="O206" i="163"/>
  <c r="A206" i="163"/>
  <c r="O205" i="163"/>
  <c r="A205" i="163"/>
  <c r="A204" i="163"/>
  <c r="O203" i="163"/>
  <c r="A203" i="163"/>
  <c r="O202" i="163"/>
  <c r="A202" i="163"/>
  <c r="O201" i="163"/>
  <c r="A201" i="163"/>
  <c r="O200" i="163"/>
  <c r="A200" i="163"/>
  <c r="O199" i="163"/>
  <c r="A199" i="163"/>
  <c r="O198" i="163"/>
  <c r="A198" i="163"/>
  <c r="O197" i="163"/>
  <c r="A197" i="163"/>
  <c r="O196" i="163"/>
  <c r="A196" i="163"/>
  <c r="O195" i="163"/>
  <c r="A195" i="163"/>
  <c r="O194" i="163"/>
  <c r="A194" i="163"/>
  <c r="A193" i="163"/>
  <c r="O192" i="163"/>
  <c r="A192" i="163"/>
  <c r="O191" i="163"/>
  <c r="A191" i="163"/>
  <c r="O190" i="163"/>
  <c r="A190" i="163"/>
  <c r="O189" i="163"/>
  <c r="A189" i="163"/>
  <c r="O188" i="163"/>
  <c r="A188" i="163"/>
  <c r="O187" i="163"/>
  <c r="A187" i="163"/>
  <c r="O186" i="163"/>
  <c r="A186" i="163"/>
  <c r="O185" i="163"/>
  <c r="A185" i="163"/>
  <c r="O184" i="163"/>
  <c r="A184" i="163"/>
  <c r="O183" i="163"/>
  <c r="A183" i="163"/>
  <c r="A182" i="163"/>
  <c r="O181" i="163"/>
  <c r="A181" i="163"/>
  <c r="O180" i="163"/>
  <c r="A180" i="163"/>
  <c r="O179" i="163"/>
  <c r="A179" i="163"/>
  <c r="O178" i="163"/>
  <c r="A178" i="163"/>
  <c r="O177" i="163"/>
  <c r="A177" i="163"/>
  <c r="O176" i="163"/>
  <c r="A176" i="163"/>
  <c r="O175" i="163"/>
  <c r="A175" i="163"/>
  <c r="O174" i="163"/>
  <c r="A174" i="163"/>
  <c r="O173" i="163"/>
  <c r="A173" i="163"/>
  <c r="O172" i="163"/>
  <c r="A172" i="163"/>
  <c r="A171" i="163"/>
  <c r="O170" i="163"/>
  <c r="A170" i="163"/>
  <c r="O169" i="163"/>
  <c r="A169" i="163"/>
  <c r="O168" i="163"/>
  <c r="A168" i="163"/>
  <c r="O167" i="163"/>
  <c r="A167" i="163"/>
  <c r="O166" i="163"/>
  <c r="A166" i="163"/>
  <c r="O165" i="163"/>
  <c r="A165" i="163"/>
  <c r="O164" i="163"/>
  <c r="A164" i="163"/>
  <c r="O163" i="163"/>
  <c r="A163" i="163"/>
  <c r="O162" i="163"/>
  <c r="A162" i="163"/>
  <c r="O161" i="163"/>
  <c r="A161" i="163"/>
  <c r="A160" i="163"/>
  <c r="O159" i="163"/>
  <c r="A159" i="163"/>
  <c r="O158" i="163"/>
  <c r="A158" i="163"/>
  <c r="O157" i="163"/>
  <c r="A157" i="163"/>
  <c r="O156" i="163"/>
  <c r="A156" i="163"/>
  <c r="O155" i="163"/>
  <c r="A155" i="163"/>
  <c r="O154" i="163"/>
  <c r="A154" i="163"/>
  <c r="O153" i="163"/>
  <c r="A153" i="163"/>
  <c r="O152" i="163"/>
  <c r="A152" i="163"/>
  <c r="O151" i="163"/>
  <c r="A151" i="163"/>
  <c r="O150" i="163"/>
  <c r="A150" i="163"/>
  <c r="A149" i="163"/>
  <c r="O148" i="163"/>
  <c r="A148" i="163"/>
  <c r="O147" i="163"/>
  <c r="A147" i="163"/>
  <c r="O146" i="163"/>
  <c r="A146" i="163"/>
  <c r="O145" i="163"/>
  <c r="A145" i="163"/>
  <c r="O144" i="163"/>
  <c r="A144" i="163"/>
  <c r="O143" i="163"/>
  <c r="A143" i="163"/>
  <c r="O142" i="163"/>
  <c r="A142" i="163"/>
  <c r="O141" i="163"/>
  <c r="A141" i="163"/>
  <c r="O140" i="163"/>
  <c r="A140" i="163"/>
  <c r="O139" i="163"/>
  <c r="A139" i="163"/>
  <c r="O138" i="163"/>
  <c r="A138" i="163"/>
  <c r="A137" i="163"/>
  <c r="O136" i="163"/>
  <c r="A136" i="163"/>
  <c r="O135" i="163"/>
  <c r="A135" i="163"/>
  <c r="O134" i="163"/>
  <c r="A134" i="163"/>
  <c r="O133" i="163"/>
  <c r="A133" i="163"/>
  <c r="O132" i="163"/>
  <c r="A132" i="163"/>
  <c r="O131" i="163"/>
  <c r="A131" i="163"/>
  <c r="O130" i="163"/>
  <c r="A130" i="163"/>
  <c r="O129" i="163"/>
  <c r="A129" i="163"/>
  <c r="O128" i="163"/>
  <c r="A128" i="163"/>
  <c r="O127" i="163"/>
  <c r="A127" i="163"/>
  <c r="A126" i="163"/>
  <c r="O125" i="163"/>
  <c r="A125" i="163"/>
  <c r="O124" i="163"/>
  <c r="A124" i="163"/>
  <c r="O123" i="163"/>
  <c r="A123" i="163"/>
  <c r="O122" i="163"/>
  <c r="A122" i="163"/>
  <c r="O121" i="163"/>
  <c r="A121" i="163"/>
  <c r="O120" i="163"/>
  <c r="A120" i="163"/>
  <c r="O119" i="163"/>
  <c r="A119" i="163"/>
  <c r="O118" i="163"/>
  <c r="A118" i="163"/>
  <c r="O117" i="163"/>
  <c r="A117" i="163"/>
  <c r="O116" i="163"/>
  <c r="A116" i="163"/>
  <c r="A115" i="163"/>
  <c r="O114" i="163"/>
  <c r="A114" i="163"/>
  <c r="O113" i="163"/>
  <c r="A113" i="163"/>
  <c r="O112" i="163"/>
  <c r="A112" i="163"/>
  <c r="O111" i="163"/>
  <c r="A111" i="163"/>
  <c r="O110" i="163"/>
  <c r="A110" i="163"/>
  <c r="O109" i="163"/>
  <c r="A109" i="163"/>
  <c r="O108" i="163"/>
  <c r="A108" i="163"/>
  <c r="O107" i="163"/>
  <c r="A107" i="163"/>
  <c r="O106" i="163"/>
  <c r="A106" i="163"/>
  <c r="O105" i="163"/>
  <c r="A105" i="163"/>
  <c r="A104" i="163"/>
  <c r="O103" i="163"/>
  <c r="A103" i="163"/>
  <c r="O102" i="163"/>
  <c r="A102" i="163"/>
  <c r="O101" i="163"/>
  <c r="A101" i="163"/>
  <c r="O100" i="163"/>
  <c r="A100" i="163"/>
  <c r="O99" i="163"/>
  <c r="A99" i="163"/>
  <c r="O98" i="163"/>
  <c r="A98" i="163"/>
  <c r="O97" i="163"/>
  <c r="A97" i="163"/>
  <c r="O96" i="163"/>
  <c r="A96" i="163"/>
  <c r="O95" i="163"/>
  <c r="A95" i="163"/>
  <c r="O94" i="163"/>
  <c r="A94" i="163"/>
  <c r="A93" i="163"/>
  <c r="O92" i="163"/>
  <c r="A92" i="163"/>
  <c r="O91" i="163"/>
  <c r="A91" i="163"/>
  <c r="O90" i="163"/>
  <c r="A90" i="163"/>
  <c r="O89" i="163"/>
  <c r="A89" i="163"/>
  <c r="O88" i="163"/>
  <c r="A88" i="163"/>
  <c r="O87" i="163"/>
  <c r="A87" i="163"/>
  <c r="O86" i="163"/>
  <c r="A86" i="163"/>
  <c r="O85" i="163"/>
  <c r="A85" i="163"/>
  <c r="O84" i="163"/>
  <c r="A84" i="163"/>
  <c r="O83" i="163"/>
  <c r="A83" i="163"/>
  <c r="A82" i="163"/>
  <c r="O81" i="163"/>
  <c r="A81" i="163"/>
  <c r="O80" i="163"/>
  <c r="A80" i="163"/>
  <c r="O79" i="163"/>
  <c r="A79" i="163"/>
  <c r="O78" i="163"/>
  <c r="A78" i="163"/>
  <c r="O77" i="163"/>
  <c r="A77" i="163"/>
  <c r="O76" i="163"/>
  <c r="A76" i="163"/>
  <c r="O75" i="163"/>
  <c r="A75" i="163"/>
  <c r="O74" i="163"/>
  <c r="A74" i="163"/>
  <c r="O73" i="163"/>
  <c r="A73" i="163"/>
  <c r="O72" i="163"/>
  <c r="A72" i="163"/>
  <c r="A71" i="163"/>
  <c r="O70" i="163"/>
  <c r="A70" i="163"/>
  <c r="O69" i="163"/>
  <c r="A69" i="163"/>
  <c r="O68" i="163"/>
  <c r="A68" i="163"/>
  <c r="O67" i="163"/>
  <c r="A67" i="163"/>
  <c r="O66" i="163"/>
  <c r="A66" i="163"/>
  <c r="O65" i="163"/>
  <c r="A65" i="163"/>
  <c r="O64" i="163"/>
  <c r="A64" i="163"/>
  <c r="O63" i="163"/>
  <c r="A63" i="163"/>
  <c r="O62" i="163"/>
  <c r="A62" i="163"/>
  <c r="O61" i="163"/>
  <c r="A61" i="163"/>
  <c r="A60" i="163"/>
  <c r="O59" i="163"/>
  <c r="A59" i="163"/>
  <c r="O58" i="163"/>
  <c r="A58" i="163"/>
  <c r="O57" i="163"/>
  <c r="A57" i="163"/>
  <c r="O56" i="163"/>
  <c r="A56" i="163"/>
  <c r="O55" i="163"/>
  <c r="A55" i="163"/>
  <c r="O54" i="163"/>
  <c r="A54" i="163"/>
  <c r="O53" i="163"/>
  <c r="A53" i="163"/>
  <c r="O52" i="163"/>
  <c r="A52" i="163"/>
  <c r="O51" i="163"/>
  <c r="A51" i="163"/>
  <c r="O50" i="163"/>
  <c r="A50" i="163"/>
  <c r="A49" i="163"/>
  <c r="O48" i="163"/>
  <c r="A48" i="163"/>
  <c r="O47" i="163"/>
  <c r="A47" i="163"/>
  <c r="O46" i="163"/>
  <c r="A46" i="163"/>
  <c r="O45" i="163"/>
  <c r="A45" i="163"/>
  <c r="O44" i="163"/>
  <c r="A44" i="163"/>
  <c r="O43" i="163"/>
  <c r="A43" i="163"/>
  <c r="O42" i="163"/>
  <c r="A42" i="163"/>
  <c r="O41" i="163"/>
  <c r="A41" i="163"/>
  <c r="O40" i="163"/>
  <c r="A40" i="163"/>
  <c r="O39" i="163"/>
  <c r="A39" i="163"/>
  <c r="A38" i="163"/>
  <c r="O37" i="163"/>
  <c r="A37" i="163"/>
  <c r="O36" i="163"/>
  <c r="A36" i="163"/>
  <c r="O35" i="163"/>
  <c r="A35" i="163"/>
  <c r="O34" i="163"/>
  <c r="A34" i="163"/>
  <c r="O33" i="163"/>
  <c r="A33" i="163"/>
  <c r="O32" i="163"/>
  <c r="A32" i="163"/>
  <c r="O31" i="163"/>
  <c r="A31" i="163"/>
  <c r="O30" i="163"/>
  <c r="A30" i="163"/>
  <c r="O29" i="163"/>
  <c r="A29" i="163"/>
  <c r="O28" i="163"/>
  <c r="A28" i="163"/>
  <c r="A27" i="163"/>
  <c r="O26" i="163"/>
  <c r="A26" i="163"/>
  <c r="O25" i="163"/>
  <c r="A25" i="163"/>
  <c r="O24" i="163"/>
  <c r="A24" i="163"/>
  <c r="O23" i="163"/>
  <c r="A23" i="163"/>
  <c r="O22" i="163"/>
  <c r="A22" i="163"/>
  <c r="O21" i="163"/>
  <c r="A21" i="163"/>
  <c r="O20" i="163"/>
  <c r="A20" i="163"/>
  <c r="O19" i="163"/>
  <c r="A19" i="163"/>
  <c r="O18" i="163"/>
  <c r="A18" i="163"/>
  <c r="O17" i="163"/>
  <c r="A17" i="163"/>
  <c r="A16" i="163"/>
  <c r="O15" i="163"/>
  <c r="A15" i="163"/>
  <c r="O14" i="163"/>
  <c r="A14" i="163"/>
  <c r="O13" i="163"/>
  <c r="A13" i="163"/>
  <c r="O12" i="163"/>
  <c r="A12" i="163"/>
  <c r="O11" i="163"/>
  <c r="A11" i="163"/>
  <c r="O10" i="163"/>
  <c r="A10" i="163"/>
  <c r="O9" i="163"/>
  <c r="A9" i="163"/>
  <c r="O8" i="163"/>
  <c r="A8" i="163"/>
  <c r="O7" i="163"/>
  <c r="A7" i="163"/>
  <c r="O6" i="163"/>
  <c r="A6" i="163"/>
  <c r="A5" i="163"/>
  <c r="O4" i="163"/>
  <c r="A4" i="163"/>
  <c r="B43" i="166" l="1" a="1"/>
  <c r="B43" i="166" s="1"/>
  <c r="H43" i="166" s="1" a="1"/>
  <c r="H43" i="166" s="1"/>
  <c r="D43" i="166" s="1"/>
  <c r="B67" i="167" a="1"/>
  <c r="B67" i="167" s="1"/>
  <c r="F67" i="167" s="1" a="1"/>
  <c r="F67" i="167" s="1"/>
  <c r="B51" i="167" a="1"/>
  <c r="B51" i="167" s="1"/>
  <c r="F51" i="167" s="1" a="1"/>
  <c r="F51" i="167" s="1"/>
  <c r="B31" i="167" a="1"/>
  <c r="B31" i="167" s="1"/>
  <c r="F31" i="167" s="1" a="1"/>
  <c r="F31" i="167" s="1"/>
  <c r="B111" i="166" a="1"/>
  <c r="B111" i="166" s="1"/>
  <c r="H111" i="166" s="1" a="1"/>
  <c r="H111" i="166" s="1"/>
  <c r="D111" i="166" s="1"/>
  <c r="B47" i="166" a="1"/>
  <c r="B47" i="166" s="1"/>
  <c r="H47" i="166" s="1" a="1"/>
  <c r="H47" i="166" s="1"/>
  <c r="D47" i="166" s="1"/>
  <c r="B58" i="167" a="1"/>
  <c r="B58" i="167" s="1"/>
  <c r="F58" i="167" s="1" a="1"/>
  <c r="F58" i="167" s="1"/>
  <c r="B42" i="167" a="1"/>
  <c r="B42" i="167" s="1"/>
  <c r="F42" i="167" s="1" a="1"/>
  <c r="F42" i="167" s="1"/>
  <c r="B26" i="167" a="1"/>
  <c r="B26" i="167" s="1"/>
  <c r="F26" i="167" s="1" a="1"/>
  <c r="F26" i="167" s="1"/>
  <c r="B130" i="166" a="1"/>
  <c r="B130" i="166" s="1"/>
  <c r="H130" i="166" s="1" a="1"/>
  <c r="H130" i="166" s="1"/>
  <c r="D130" i="166" s="1"/>
  <c r="B114" i="166" a="1"/>
  <c r="B114" i="166" s="1"/>
  <c r="H114" i="166" s="1" a="1"/>
  <c r="H114" i="166" s="1"/>
  <c r="D114" i="166" s="1"/>
  <c r="B98" i="166" a="1"/>
  <c r="B98" i="166" s="1"/>
  <c r="H98" i="166" s="1" a="1"/>
  <c r="H98" i="166" s="1"/>
  <c r="D98" i="166" s="1"/>
  <c r="B82" i="166" a="1"/>
  <c r="B82" i="166" s="1"/>
  <c r="H82" i="166" s="1" a="1"/>
  <c r="H82" i="166" s="1"/>
  <c r="D82" i="166" s="1"/>
  <c r="B66" i="166" a="1"/>
  <c r="B66" i="166" s="1"/>
  <c r="H66" i="166" s="1" a="1"/>
  <c r="H66" i="166" s="1"/>
  <c r="D66" i="166" s="1"/>
  <c r="B50" i="166" a="1"/>
  <c r="B50" i="166" s="1"/>
  <c r="H50" i="166" s="1" a="1"/>
  <c r="H50" i="166" s="1"/>
  <c r="D50" i="166" s="1"/>
  <c r="B34" i="166" a="1"/>
  <c r="B34" i="166" s="1"/>
  <c r="H34" i="166" s="1" a="1"/>
  <c r="H34" i="166" s="1"/>
  <c r="D34" i="166" s="1"/>
  <c r="B18" i="166" a="1"/>
  <c r="B18" i="166" s="1"/>
  <c r="H18" i="166" s="1" a="1"/>
  <c r="H18" i="166" s="1"/>
  <c r="D18" i="166" s="1"/>
  <c r="B45" i="167" a="1"/>
  <c r="B45" i="167" s="1"/>
  <c r="F45" i="167" s="1" a="1"/>
  <c r="F45" i="167" s="1"/>
  <c r="B13" i="167" a="1"/>
  <c r="B13" i="167" s="1"/>
  <c r="F13" i="167" s="1" a="1"/>
  <c r="F13" i="167" s="1"/>
  <c r="B97" i="166" a="1"/>
  <c r="B97" i="166" s="1"/>
  <c r="H97" i="166" s="1" a="1"/>
  <c r="H97" i="166" s="1"/>
  <c r="D97" i="166" s="1"/>
  <c r="B69" i="166" a="1"/>
  <c r="B69" i="166" s="1"/>
  <c r="H69" i="166" s="1" a="1"/>
  <c r="H69" i="166" s="1"/>
  <c r="D69" i="166" s="1"/>
  <c r="B41" i="166" a="1"/>
  <c r="B41" i="166" s="1"/>
  <c r="H41" i="166" s="1" a="1"/>
  <c r="H41" i="166" s="1"/>
  <c r="D41" i="166" s="1"/>
  <c r="B17" i="166" a="1"/>
  <c r="B17" i="166" s="1"/>
  <c r="H17" i="166" s="1" a="1"/>
  <c r="H17" i="166" s="1"/>
  <c r="D17" i="166" s="1"/>
  <c r="B95" i="166" a="1"/>
  <c r="B95" i="166" s="1"/>
  <c r="H95" i="166" s="1" a="1"/>
  <c r="H95" i="166" s="1"/>
  <c r="D95" i="166" s="1"/>
  <c r="B35" i="166" a="1"/>
  <c r="B35" i="166" s="1"/>
  <c r="H35" i="166" s="1" a="1"/>
  <c r="H35" i="166" s="1"/>
  <c r="D35" i="166" s="1"/>
  <c r="B57" i="167" a="1"/>
  <c r="B57" i="167" s="1"/>
  <c r="F57" i="167" s="1" a="1"/>
  <c r="F57" i="167" s="1"/>
  <c r="B25" i="167" a="1"/>
  <c r="B25" i="167" s="1"/>
  <c r="F25" i="167" s="1" a="1"/>
  <c r="F25" i="167" s="1"/>
  <c r="B117" i="166" a="1"/>
  <c r="B117" i="166" s="1"/>
  <c r="H117" i="166" s="1" a="1"/>
  <c r="H117" i="166" s="1"/>
  <c r="D117" i="166" s="1"/>
  <c r="B81" i="166" a="1"/>
  <c r="B81" i="166" s="1"/>
  <c r="H81" i="166" s="1" a="1"/>
  <c r="H81" i="166" s="1"/>
  <c r="D81" i="166" s="1"/>
  <c r="B49" i="166" a="1"/>
  <c r="B49" i="166" s="1"/>
  <c r="H49" i="166" s="1" a="1"/>
  <c r="H49" i="166" s="1"/>
  <c r="D49" i="166" s="1"/>
  <c r="B103" i="166" a="1"/>
  <c r="B103" i="166" s="1"/>
  <c r="H103" i="166" s="1" a="1"/>
  <c r="H103" i="166" s="1"/>
  <c r="D103" i="166" s="1"/>
  <c r="B39" i="166" a="1"/>
  <c r="B39" i="166" s="1"/>
  <c r="H39" i="166" s="1" a="1"/>
  <c r="H39" i="166" s="1"/>
  <c r="D39" i="166" s="1"/>
  <c r="B56" i="167" a="1"/>
  <c r="B56" i="167" s="1"/>
  <c r="F56" i="167" s="1" a="1"/>
  <c r="F56" i="167" s="1"/>
  <c r="B32" i="167" a="1"/>
  <c r="B32" i="167" s="1"/>
  <c r="F32" i="167" s="1" a="1"/>
  <c r="F32" i="167" s="1"/>
  <c r="B128" i="166" a="1"/>
  <c r="B128" i="166" s="1"/>
  <c r="H128" i="166" s="1" a="1"/>
  <c r="H128" i="166" s="1"/>
  <c r="D128" i="166" s="1"/>
  <c r="B104" i="166" a="1"/>
  <c r="B104" i="166" s="1"/>
  <c r="H104" i="166" s="1" a="1"/>
  <c r="H104" i="166" s="1"/>
  <c r="D104" i="166" s="1"/>
  <c r="B80" i="166" a="1"/>
  <c r="B80" i="166" s="1"/>
  <c r="H80" i="166" s="1" a="1"/>
  <c r="H80" i="166" s="1"/>
  <c r="D80" i="166" s="1"/>
  <c r="B56" i="166" a="1"/>
  <c r="B56" i="166" s="1"/>
  <c r="H56" i="166" s="1" a="1"/>
  <c r="H56" i="166" s="1"/>
  <c r="D56" i="166" s="1"/>
  <c r="B32" i="166" a="1"/>
  <c r="B32" i="166" s="1"/>
  <c r="H32" i="166" s="1" a="1"/>
  <c r="H32" i="166" s="1"/>
  <c r="D32" i="166" s="1"/>
  <c r="B123" i="166" a="1"/>
  <c r="B123" i="166" s="1"/>
  <c r="H123" i="166" s="1" a="1"/>
  <c r="H123" i="166" s="1"/>
  <c r="D123" i="166" s="1"/>
  <c r="B59" i="166" a="1"/>
  <c r="B59" i="166" s="1"/>
  <c r="H59" i="166" s="1" a="1"/>
  <c r="H59" i="166" s="1"/>
  <c r="D59" i="166" s="1"/>
  <c r="B63" i="167" a="1"/>
  <c r="B63" i="167" s="1"/>
  <c r="F63" i="167" s="1" a="1"/>
  <c r="F63" i="167" s="1"/>
  <c r="B47" i="167" a="1"/>
  <c r="B47" i="167" s="1"/>
  <c r="F47" i="167" s="1" a="1"/>
  <c r="F47" i="167" s="1"/>
  <c r="B27" i="167" a="1"/>
  <c r="B27" i="167" s="1"/>
  <c r="F27" i="167" s="1" a="1"/>
  <c r="F27" i="167" s="1"/>
  <c r="B99" i="166" a="1"/>
  <c r="B99" i="166" s="1"/>
  <c r="H99" i="166" s="1" a="1"/>
  <c r="H99" i="166" s="1"/>
  <c r="D99" i="166" s="1"/>
  <c r="B31" i="166" a="1"/>
  <c r="B31" i="166" s="1"/>
  <c r="H31" i="166" s="1" a="1"/>
  <c r="H31" i="166" s="1"/>
  <c r="D31" i="166" s="1"/>
  <c r="B70" i="167" a="1"/>
  <c r="B70" i="167" s="1"/>
  <c r="F70" i="167" s="1" a="1"/>
  <c r="F70" i="167" s="1"/>
  <c r="B54" i="167" a="1"/>
  <c r="B54" i="167" s="1"/>
  <c r="F54" i="167" s="1" a="1"/>
  <c r="F54" i="167" s="1"/>
  <c r="B38" i="167" a="1"/>
  <c r="B38" i="167" s="1"/>
  <c r="F38" i="167" s="1" a="1"/>
  <c r="F38" i="167" s="1"/>
  <c r="B22" i="167" a="1"/>
  <c r="B22" i="167" s="1"/>
  <c r="F22" i="167" s="1" a="1"/>
  <c r="F22" i="167" s="1"/>
  <c r="B126" i="166" a="1"/>
  <c r="B126" i="166" s="1"/>
  <c r="H126" i="166" s="1" a="1"/>
  <c r="H126" i="166" s="1"/>
  <c r="D126" i="166" s="1"/>
  <c r="B110" i="166" a="1"/>
  <c r="B110" i="166" s="1"/>
  <c r="H110" i="166" s="1" a="1"/>
  <c r="H110" i="166" s="1"/>
  <c r="D110" i="166" s="1"/>
  <c r="B94" i="166" a="1"/>
  <c r="B94" i="166" s="1"/>
  <c r="H94" i="166" s="1" a="1"/>
  <c r="H94" i="166" s="1"/>
  <c r="D94" i="166" s="1"/>
  <c r="B78" i="166" a="1"/>
  <c r="B78" i="166" s="1"/>
  <c r="H78" i="166" s="1" a="1"/>
  <c r="H78" i="166" s="1"/>
  <c r="D78" i="166" s="1"/>
  <c r="B62" i="166" a="1"/>
  <c r="B62" i="166" s="1"/>
  <c r="H62" i="166" s="1" a="1"/>
  <c r="H62" i="166" s="1"/>
  <c r="D62" i="166" s="1"/>
  <c r="B46" i="166" a="1"/>
  <c r="B46" i="166" s="1"/>
  <c r="H46" i="166" s="1" a="1"/>
  <c r="H46" i="166" s="1"/>
  <c r="D46" i="166" s="1"/>
  <c r="B30" i="166" a="1"/>
  <c r="B30" i="166" s="1"/>
  <c r="H30" i="166" s="1" a="1"/>
  <c r="H30" i="166" s="1"/>
  <c r="D30" i="166" s="1"/>
  <c r="B14" i="166" a="1"/>
  <c r="B14" i="166" s="1"/>
  <c r="H14" i="166" s="1" a="1"/>
  <c r="H14" i="166" s="1"/>
  <c r="D14" i="166" s="1"/>
  <c r="B65" i="167" a="1"/>
  <c r="B65" i="167" s="1"/>
  <c r="F65" i="167" s="1" a="1"/>
  <c r="F65" i="167" s="1"/>
  <c r="B37" i="167" a="1"/>
  <c r="B37" i="167" s="1"/>
  <c r="F37" i="167" s="1" a="1"/>
  <c r="F37" i="167" s="1"/>
  <c r="B125" i="166" a="1"/>
  <c r="B125" i="166" s="1"/>
  <c r="H125" i="166" s="1" a="1"/>
  <c r="H125" i="166" s="1"/>
  <c r="D125" i="166" s="1"/>
  <c r="B89" i="166" a="1"/>
  <c r="B89" i="166" s="1"/>
  <c r="H89" i="166" s="1" a="1"/>
  <c r="H89" i="166" s="1"/>
  <c r="D89" i="166" s="1"/>
  <c r="B61" i="166" a="1"/>
  <c r="B61" i="166" s="1"/>
  <c r="H61" i="166" s="1" a="1"/>
  <c r="H61" i="166" s="1"/>
  <c r="D61" i="166" s="1"/>
  <c r="B37" i="166" a="1"/>
  <c r="B37" i="166" s="1"/>
  <c r="H37" i="166" s="1" a="1"/>
  <c r="H37" i="166" s="1"/>
  <c r="D37" i="166" s="1"/>
  <c r="B13" i="166" a="1"/>
  <c r="B13" i="166" s="1"/>
  <c r="H13" i="166" s="1" a="1"/>
  <c r="H13" i="166" s="1"/>
  <c r="D13" i="166" s="1"/>
  <c r="B83" i="166" a="1"/>
  <c r="B83" i="166" s="1"/>
  <c r="H83" i="166" s="1" a="1"/>
  <c r="H83" i="166" s="1"/>
  <c r="D83" i="166" s="1"/>
  <c r="B19" i="166" a="1"/>
  <c r="B19" i="166" s="1"/>
  <c r="H19" i="166" s="1" a="1"/>
  <c r="H19" i="166" s="1"/>
  <c r="D19" i="166" s="1"/>
  <c r="B49" i="167" a="1"/>
  <c r="B49" i="167" s="1"/>
  <c r="F49" i="167" s="1" a="1"/>
  <c r="F49" i="167" s="1"/>
  <c r="B17" i="167" a="1"/>
  <c r="B17" i="167" s="1"/>
  <c r="F17" i="167" s="1" a="1"/>
  <c r="F17" i="167" s="1"/>
  <c r="B109" i="166" a="1"/>
  <c r="B109" i="166" s="1"/>
  <c r="H109" i="166" s="1" a="1"/>
  <c r="H109" i="166" s="1"/>
  <c r="D109" i="166" s="1"/>
  <c r="B73" i="166" a="1"/>
  <c r="B73" i="166" s="1"/>
  <c r="H73" i="166" s="1" a="1"/>
  <c r="H73" i="166" s="1"/>
  <c r="D73" i="166" s="1"/>
  <c r="B29" i="166" a="1"/>
  <c r="B29" i="166" s="1"/>
  <c r="H29" i="166" s="1" a="1"/>
  <c r="H29" i="166" s="1"/>
  <c r="D29" i="166" s="1"/>
  <c r="B87" i="166" a="1"/>
  <c r="B87" i="166" s="1"/>
  <c r="H87" i="166" s="1" a="1"/>
  <c r="H87" i="166" s="1"/>
  <c r="D87" i="166" s="1"/>
  <c r="B27" i="166" a="1"/>
  <c r="B27" i="166" s="1"/>
  <c r="H27" i="166" s="1" a="1"/>
  <c r="H27" i="166" s="1"/>
  <c r="D27" i="166" s="1"/>
  <c r="B52" i="167" a="1"/>
  <c r="B52" i="167" s="1"/>
  <c r="F52" i="167" s="1" a="1"/>
  <c r="F52" i="167" s="1"/>
  <c r="B28" i="167" a="1"/>
  <c r="B28" i="167" s="1"/>
  <c r="F28" i="167" s="1" a="1"/>
  <c r="F28" i="167" s="1"/>
  <c r="B124" i="166" a="1"/>
  <c r="B124" i="166" s="1"/>
  <c r="H124" i="166" s="1" a="1"/>
  <c r="H124" i="166" s="1"/>
  <c r="D124" i="166" s="1"/>
  <c r="B100" i="166" a="1"/>
  <c r="B100" i="166" s="1"/>
  <c r="H100" i="166" s="1" a="1"/>
  <c r="H100" i="166" s="1"/>
  <c r="D100" i="166" s="1"/>
  <c r="B76" i="166" a="1"/>
  <c r="B76" i="166" s="1"/>
  <c r="H76" i="166" s="1" a="1"/>
  <c r="H76" i="166" s="1"/>
  <c r="D76" i="166" s="1"/>
  <c r="B52" i="166" a="1"/>
  <c r="B52" i="166" s="1"/>
  <c r="H52" i="166" s="1" a="1"/>
  <c r="H52" i="166" s="1"/>
  <c r="D52" i="166" s="1"/>
  <c r="B28" i="166" a="1"/>
  <c r="B28" i="166" s="1"/>
  <c r="H28" i="166" s="1" a="1"/>
  <c r="H28" i="166" s="1"/>
  <c r="D28" i="166" s="1"/>
  <c r="B35" i="167" a="1"/>
  <c r="B35" i="167" s="1"/>
  <c r="F35" i="167" s="1" a="1"/>
  <c r="F35" i="167" s="1"/>
  <c r="B107" i="166" a="1"/>
  <c r="B107" i="166" s="1"/>
  <c r="H107" i="166" s="1" a="1"/>
  <c r="H107" i="166" s="1"/>
  <c r="D107" i="166" s="1"/>
  <c r="T11" i="69" a="1"/>
  <c r="T11" i="69" s="1"/>
  <c r="T10" i="69" a="1"/>
  <c r="T10" i="69" s="1"/>
  <c r="N12" i="69" a="1"/>
  <c r="N12" i="69" s="1"/>
  <c r="N11" i="69" a="1"/>
  <c r="N11" i="69" s="1"/>
  <c r="T9" i="69" a="1"/>
  <c r="T9" i="69" s="1"/>
  <c r="T8" i="69" a="1"/>
  <c r="T8" i="69" s="1"/>
  <c r="N10" i="69" a="1"/>
  <c r="N10" i="69" s="1"/>
  <c r="N9" i="69" a="1"/>
  <c r="N9" i="69" s="1"/>
  <c r="T7" i="69" a="1"/>
  <c r="T7" i="69" s="1"/>
  <c r="N16" i="69" a="1"/>
  <c r="N16" i="69" s="1"/>
  <c r="N15" i="69" a="1"/>
  <c r="N15" i="69" s="1"/>
  <c r="N8" i="69" a="1"/>
  <c r="N8" i="69" s="1"/>
  <c r="N7" i="69" a="1"/>
  <c r="N7" i="69" s="1"/>
  <c r="N13" i="69" a="1"/>
  <c r="N13" i="69" s="1"/>
  <c r="N14" i="69" a="1"/>
  <c r="N14" i="69" s="1"/>
  <c r="H19" i="69" a="1"/>
  <c r="H19" i="69" s="1"/>
  <c r="H17" i="69" a="1"/>
  <c r="H17" i="69" s="1"/>
  <c r="H13" i="69" a="1"/>
  <c r="H13" i="69" s="1"/>
  <c r="H15" i="69" a="1"/>
  <c r="H15" i="69" s="1"/>
  <c r="H8" i="69" a="1"/>
  <c r="H8" i="69" s="1"/>
  <c r="H11" i="69" a="1"/>
  <c r="H11" i="69" s="1"/>
  <c r="H18" i="69" a="1"/>
  <c r="H18" i="69" s="1"/>
  <c r="H14" i="69" a="1"/>
  <c r="H14" i="69" s="1"/>
  <c r="H7" i="69" a="1"/>
  <c r="H7" i="69" s="1"/>
  <c r="H10" i="69" a="1"/>
  <c r="H10" i="69" s="1"/>
  <c r="H12" i="69" a="1"/>
  <c r="H12" i="69" s="1"/>
  <c r="H16" i="69" a="1"/>
  <c r="H16" i="69" s="1"/>
  <c r="B178" i="165" a="1"/>
  <c r="B178" i="165" s="1"/>
  <c r="H178" i="165" s="1" a="1"/>
  <c r="H178" i="165" s="1"/>
  <c r="B174" i="165" a="1"/>
  <c r="B174" i="165" s="1"/>
  <c r="H174" i="165" s="1" a="1"/>
  <c r="H174" i="165" s="1"/>
  <c r="B170" i="165" a="1"/>
  <c r="B170" i="165" s="1"/>
  <c r="H170" i="165" s="1" a="1"/>
  <c r="H170" i="165" s="1"/>
  <c r="B168" i="165" a="1"/>
  <c r="B168" i="165" s="1"/>
  <c r="H168" i="165" s="1" a="1"/>
  <c r="H168" i="165" s="1"/>
  <c r="B163" i="165" a="1"/>
  <c r="B163" i="165" s="1"/>
  <c r="H163" i="165" s="1" a="1"/>
  <c r="H163" i="165" s="1"/>
  <c r="B161" i="165" a="1"/>
  <c r="B161" i="165" s="1"/>
  <c r="H161" i="165" s="1" a="1"/>
  <c r="H161" i="165" s="1"/>
  <c r="B155" i="165" a="1"/>
  <c r="B155" i="165" s="1"/>
  <c r="H155" i="165" s="1" a="1"/>
  <c r="H155" i="165" s="1"/>
  <c r="B153" i="165" a="1"/>
  <c r="B153" i="165" s="1"/>
  <c r="H153" i="165" s="1" a="1"/>
  <c r="H153" i="165" s="1"/>
  <c r="B151" i="165" a="1"/>
  <c r="B151" i="165" s="1"/>
  <c r="H151" i="165" s="1" a="1"/>
  <c r="H151" i="165" s="1"/>
  <c r="B149" i="165" a="1"/>
  <c r="B149" i="165" s="1"/>
  <c r="H149" i="165" s="1" a="1"/>
  <c r="H149" i="165" s="1"/>
  <c r="B147" i="165" a="1"/>
  <c r="B147" i="165" s="1"/>
  <c r="H147" i="165" s="1" a="1"/>
  <c r="H147" i="165" s="1"/>
  <c r="B145" i="165" a="1"/>
  <c r="B145" i="165" s="1"/>
  <c r="H145" i="165" s="1" a="1"/>
  <c r="H145" i="165" s="1"/>
  <c r="D145" i="165" s="1"/>
  <c r="B140" i="165" a="1"/>
  <c r="B140" i="165" s="1"/>
  <c r="H140" i="165" s="1" a="1"/>
  <c r="H140" i="165" s="1"/>
  <c r="B134" i="165" a="1"/>
  <c r="B134" i="165" s="1"/>
  <c r="H134" i="165" s="1" a="1"/>
  <c r="H134" i="165" s="1"/>
  <c r="B131" i="165" a="1"/>
  <c r="B131" i="165" s="1"/>
  <c r="H131" i="165" s="1" a="1"/>
  <c r="H131" i="165" s="1"/>
  <c r="B129" i="165" a="1"/>
  <c r="B129" i="165" s="1"/>
  <c r="H129" i="165" s="1" a="1"/>
  <c r="H129" i="165" s="1"/>
  <c r="B124" i="165" a="1"/>
  <c r="B124" i="165" s="1"/>
  <c r="H124" i="165" s="1" a="1"/>
  <c r="H124" i="165" s="1"/>
  <c r="B118" i="165" a="1"/>
  <c r="B118" i="165" s="1"/>
  <c r="H118" i="165" s="1" a="1"/>
  <c r="H118" i="165" s="1"/>
  <c r="B115" i="165" a="1"/>
  <c r="B115" i="165" s="1"/>
  <c r="H115" i="165" s="1" a="1"/>
  <c r="H115" i="165" s="1"/>
  <c r="B113" i="165" a="1"/>
  <c r="B113" i="165" s="1"/>
  <c r="H113" i="165" s="1" a="1"/>
  <c r="H113" i="165" s="1"/>
  <c r="B108" i="165" a="1"/>
  <c r="B108" i="165" s="1"/>
  <c r="H108" i="165" s="1" a="1"/>
  <c r="H108" i="165" s="1"/>
  <c r="B102" i="165" a="1"/>
  <c r="B102" i="165" s="1"/>
  <c r="H102" i="165" s="1" a="1"/>
  <c r="H102" i="165" s="1"/>
  <c r="B98" i="165" a="1"/>
  <c r="B98" i="165" s="1"/>
  <c r="H98" i="165" s="1" a="1"/>
  <c r="H98" i="165" s="1"/>
  <c r="B93" i="165" a="1"/>
  <c r="B93" i="165" s="1"/>
  <c r="H93" i="165" s="1" a="1"/>
  <c r="H93" i="165" s="1"/>
  <c r="B91" i="165" a="1"/>
  <c r="B91" i="165" s="1"/>
  <c r="H91" i="165" s="1" a="1"/>
  <c r="H91" i="165" s="1"/>
  <c r="B85" i="165" a="1"/>
  <c r="B85" i="165" s="1"/>
  <c r="H85" i="165" s="1" a="1"/>
  <c r="H85" i="165" s="1"/>
  <c r="D85" i="165" s="1"/>
  <c r="B82" i="165" a="1"/>
  <c r="B82" i="165" s="1"/>
  <c r="H82" i="165" s="1" a="1"/>
  <c r="H82" i="165" s="1"/>
  <c r="B79" i="165" a="1"/>
  <c r="B79" i="165" s="1"/>
  <c r="H79" i="165" s="1" a="1"/>
  <c r="H79" i="165" s="1"/>
  <c r="B72" i="165" a="1"/>
  <c r="B72" i="165" s="1"/>
  <c r="H72" i="165" s="1" a="1"/>
  <c r="H72" i="165" s="1"/>
  <c r="B69" i="165" a="1"/>
  <c r="B69" i="165" s="1"/>
  <c r="H69" i="165" s="1" a="1"/>
  <c r="H69" i="165" s="1"/>
  <c r="B66" i="165" a="1"/>
  <c r="B66" i="165" s="1"/>
  <c r="H66" i="165" s="1" a="1"/>
  <c r="H66" i="165" s="1"/>
  <c r="B63" i="165" a="1"/>
  <c r="B63" i="165" s="1"/>
  <c r="H63" i="165" s="1" a="1"/>
  <c r="H63" i="165" s="1"/>
  <c r="B56" i="165" a="1"/>
  <c r="B56" i="165" s="1"/>
  <c r="B53" i="165" a="1"/>
  <c r="B53" i="165" s="1"/>
  <c r="B45" i="165" a="1"/>
  <c r="B45" i="165" s="1"/>
  <c r="B41" i="165" a="1"/>
  <c r="B41" i="165" s="1"/>
  <c r="B33" i="165" a="1"/>
  <c r="B33" i="165" s="1"/>
  <c r="B60" i="167" a="1"/>
  <c r="B60" i="167" s="1"/>
  <c r="F60" i="167" s="1" a="1"/>
  <c r="F60" i="167" s="1"/>
  <c r="B48" i="167" a="1"/>
  <c r="B48" i="167" s="1"/>
  <c r="F48" i="167" s="1" a="1"/>
  <c r="F48" i="167" s="1"/>
  <c r="B36" i="167" a="1"/>
  <c r="B36" i="167" s="1"/>
  <c r="F36" i="167" s="1" a="1"/>
  <c r="F36" i="167" s="1"/>
  <c r="B24" i="167" a="1"/>
  <c r="B24" i="167" s="1"/>
  <c r="F24" i="167" s="1" a="1"/>
  <c r="F24" i="167" s="1"/>
  <c r="B176" i="165" a="1"/>
  <c r="B176" i="165" s="1"/>
  <c r="H176" i="165" s="1" a="1"/>
  <c r="H176" i="165" s="1"/>
  <c r="B171" i="165" a="1"/>
  <c r="B171" i="165" s="1"/>
  <c r="H171" i="165" s="1" a="1"/>
  <c r="H171" i="165" s="1"/>
  <c r="B165" i="165" a="1"/>
  <c r="B165" i="165" s="1"/>
  <c r="H165" i="165" s="1" a="1"/>
  <c r="H165" i="165" s="1"/>
  <c r="B152" i="165" a="1"/>
  <c r="B152" i="165" s="1"/>
  <c r="H152" i="165" s="1" a="1"/>
  <c r="H152" i="165" s="1"/>
  <c r="B144" i="165" a="1"/>
  <c r="B144" i="165" s="1"/>
  <c r="H144" i="165" s="1" a="1"/>
  <c r="H144" i="165" s="1"/>
  <c r="B141" i="165" a="1"/>
  <c r="B141" i="165" s="1"/>
  <c r="H141" i="165" s="1" a="1"/>
  <c r="H141" i="165" s="1"/>
  <c r="B139" i="165" a="1"/>
  <c r="B139" i="165" s="1"/>
  <c r="H139" i="165" s="1" a="1"/>
  <c r="H139" i="165" s="1"/>
  <c r="B132" i="165" a="1"/>
  <c r="B132" i="165" s="1"/>
  <c r="H132" i="165" s="1" a="1"/>
  <c r="H132" i="165" s="1"/>
  <c r="B127" i="165" a="1"/>
  <c r="B127" i="165" s="1"/>
  <c r="H127" i="165" s="1" a="1"/>
  <c r="H127" i="165" s="1"/>
  <c r="B122" i="165" a="1"/>
  <c r="B122" i="165" s="1"/>
  <c r="H122" i="165" s="1" a="1"/>
  <c r="H122" i="165" s="1"/>
  <c r="B120" i="165" a="1"/>
  <c r="B120" i="165" s="1"/>
  <c r="H120" i="165" s="1" a="1"/>
  <c r="H120" i="165" s="1"/>
  <c r="B110" i="165" a="1"/>
  <c r="B110" i="165" s="1"/>
  <c r="H110" i="165" s="1" a="1"/>
  <c r="H110" i="165" s="1"/>
  <c r="B101" i="165" a="1"/>
  <c r="B101" i="165" s="1"/>
  <c r="H101" i="165" s="1" a="1"/>
  <c r="H101" i="165" s="1"/>
  <c r="B95" i="165" a="1"/>
  <c r="B95" i="165" s="1"/>
  <c r="H95" i="165" s="1" a="1"/>
  <c r="H95" i="165" s="1"/>
  <c r="B75" i="165" a="1"/>
  <c r="B75" i="165" s="1"/>
  <c r="H75" i="165" s="1" a="1"/>
  <c r="H75" i="165" s="1"/>
  <c r="B71" i="165" a="1"/>
  <c r="B71" i="165" s="1"/>
  <c r="H71" i="165" s="1" a="1"/>
  <c r="H71" i="165" s="1"/>
  <c r="B67" i="165" a="1"/>
  <c r="B67" i="165" s="1"/>
  <c r="H67" i="165" s="1" a="1"/>
  <c r="H67" i="165" s="1"/>
  <c r="B62" i="165" a="1"/>
  <c r="B62" i="165" s="1"/>
  <c r="H62" i="165" s="1" a="1"/>
  <c r="H62" i="165" s="1"/>
  <c r="B58" i="165" a="1"/>
  <c r="B58" i="165" s="1"/>
  <c r="B54" i="165" a="1"/>
  <c r="B54" i="165" s="1"/>
  <c r="B48" i="165" a="1"/>
  <c r="B48" i="165" s="1"/>
  <c r="B43" i="165" a="1"/>
  <c r="B43" i="165" s="1"/>
  <c r="B32" i="165" a="1"/>
  <c r="B32" i="165" s="1"/>
  <c r="B84" i="166" a="1"/>
  <c r="B84" i="166" s="1"/>
  <c r="H84" i="166" s="1" a="1"/>
  <c r="H84" i="166" s="1"/>
  <c r="D84" i="166" s="1"/>
  <c r="B36" i="166" a="1"/>
  <c r="B36" i="166" s="1"/>
  <c r="H36" i="166" s="1" a="1"/>
  <c r="H36" i="166" s="1"/>
  <c r="D36" i="166" s="1"/>
  <c r="B24" i="166" a="1"/>
  <c r="B24" i="166" s="1"/>
  <c r="H24" i="166" s="1" a="1"/>
  <c r="H24" i="166" s="1"/>
  <c r="D24" i="166" s="1"/>
  <c r="B180" i="165" a="1"/>
  <c r="B180" i="165" s="1"/>
  <c r="H180" i="165" s="1" a="1"/>
  <c r="H180" i="165" s="1"/>
  <c r="B175" i="165" a="1"/>
  <c r="B175" i="165" s="1"/>
  <c r="H175" i="165" s="1" a="1"/>
  <c r="H175" i="165" s="1"/>
  <c r="B167" i="165" a="1"/>
  <c r="B167" i="165" s="1"/>
  <c r="H167" i="165" s="1" a="1"/>
  <c r="H167" i="165" s="1"/>
  <c r="B164" i="165" a="1"/>
  <c r="B164" i="165" s="1"/>
  <c r="H164" i="165" s="1" a="1"/>
  <c r="H164" i="165" s="1"/>
  <c r="B160" i="165" a="1"/>
  <c r="B160" i="165" s="1"/>
  <c r="H160" i="165" s="1" a="1"/>
  <c r="H160" i="165" s="1"/>
  <c r="B157" i="165" a="1"/>
  <c r="B157" i="165" s="1"/>
  <c r="H157" i="165" s="1" a="1"/>
  <c r="H157" i="165" s="1"/>
  <c r="D157" i="165" s="1"/>
  <c r="B150" i="165" a="1"/>
  <c r="B150" i="165" s="1"/>
  <c r="H150" i="165" s="1" a="1"/>
  <c r="H150" i="165" s="1"/>
  <c r="B143" i="165" a="1"/>
  <c r="B143" i="165" s="1"/>
  <c r="H143" i="165" s="1" a="1"/>
  <c r="H143" i="165" s="1"/>
  <c r="B138" i="165" a="1"/>
  <c r="B138" i="165" s="1"/>
  <c r="H138" i="165" s="1" a="1"/>
  <c r="H138" i="165" s="1"/>
  <c r="B136" i="165" a="1"/>
  <c r="B136" i="165" s="1"/>
  <c r="H136" i="165" s="1" a="1"/>
  <c r="H136" i="165" s="1"/>
  <c r="B126" i="165" a="1"/>
  <c r="B126" i="165" s="1"/>
  <c r="H126" i="165" s="1" a="1"/>
  <c r="H126" i="165" s="1"/>
  <c r="B117" i="165" a="1"/>
  <c r="B117" i="165" s="1"/>
  <c r="H117" i="165" s="1" a="1"/>
  <c r="H117" i="165" s="1"/>
  <c r="B114" i="165" a="1"/>
  <c r="B114" i="165" s="1"/>
  <c r="H114" i="165" s="1" a="1"/>
  <c r="H114" i="165" s="1"/>
  <c r="B105" i="165" a="1"/>
  <c r="B105" i="165" s="1"/>
  <c r="H105" i="165" s="1" a="1"/>
  <c r="H105" i="165" s="1"/>
  <c r="B103" i="165" a="1"/>
  <c r="B103" i="165" s="1"/>
  <c r="H103" i="165" s="1" a="1"/>
  <c r="H103" i="165" s="1"/>
  <c r="B97" i="165" a="1"/>
  <c r="B97" i="165" s="1"/>
  <c r="H97" i="165" s="1" a="1"/>
  <c r="H97" i="165" s="1"/>
  <c r="D97" i="165" s="1"/>
  <c r="B94" i="165" a="1"/>
  <c r="B94" i="165" s="1"/>
  <c r="H94" i="165" s="1" a="1"/>
  <c r="H94" i="165" s="1"/>
  <c r="B90" i="165" a="1"/>
  <c r="B90" i="165" s="1"/>
  <c r="H90" i="165" s="1" a="1"/>
  <c r="H90" i="165" s="1"/>
  <c r="B87" i="165" a="1"/>
  <c r="B87" i="165" s="1"/>
  <c r="H87" i="165" s="1" a="1"/>
  <c r="H87" i="165" s="1"/>
  <c r="B83" i="165" a="1"/>
  <c r="B83" i="165" s="1"/>
  <c r="H83" i="165" s="1" a="1"/>
  <c r="H83" i="165" s="1"/>
  <c r="B78" i="165" a="1"/>
  <c r="B78" i="165" s="1"/>
  <c r="H78" i="165" s="1" a="1"/>
  <c r="H78" i="165" s="1"/>
  <c r="B74" i="165" a="1"/>
  <c r="B74" i="165" s="1"/>
  <c r="H74" i="165" s="1" a="1"/>
  <c r="H74" i="165" s="1"/>
  <c r="B70" i="165" a="1"/>
  <c r="B70" i="165" s="1"/>
  <c r="H70" i="165" s="1" a="1"/>
  <c r="H70" i="165" s="1"/>
  <c r="B65" i="165" a="1"/>
  <c r="B65" i="165" s="1"/>
  <c r="H65" i="165" s="1" a="1"/>
  <c r="H65" i="165" s="1"/>
  <c r="B61" i="165" a="1"/>
  <c r="B61" i="165" s="1"/>
  <c r="H61" i="165" s="1" a="1"/>
  <c r="H61" i="165" s="1"/>
  <c r="D61" i="165" s="1"/>
  <c r="B57" i="165" a="1"/>
  <c r="B57" i="165" s="1"/>
  <c r="B52" i="165" a="1"/>
  <c r="B52" i="165" s="1"/>
  <c r="B47" i="165" a="1"/>
  <c r="B47" i="165" s="1"/>
  <c r="B42" i="165" a="1"/>
  <c r="B42" i="165" s="1"/>
  <c r="B36" i="165" a="1"/>
  <c r="B36" i="165" s="1"/>
  <c r="B31" i="165" a="1"/>
  <c r="B31" i="165" s="1"/>
  <c r="B120" i="166" a="1"/>
  <c r="B120" i="166" s="1"/>
  <c r="H120" i="166" s="1" a="1"/>
  <c r="H120" i="166" s="1"/>
  <c r="D120" i="166" s="1"/>
  <c r="B72" i="166" a="1"/>
  <c r="B72" i="166" s="1"/>
  <c r="H72" i="166" s="1" a="1"/>
  <c r="H72" i="166" s="1"/>
  <c r="D72" i="166" s="1"/>
  <c r="B12" i="167" a="1"/>
  <c r="B12" i="167" s="1"/>
  <c r="F12" i="167" s="1" a="1"/>
  <c r="F12" i="167" s="1"/>
  <c r="B179" i="165" a="1"/>
  <c r="B179" i="165" s="1"/>
  <c r="H179" i="165" s="1" a="1"/>
  <c r="H179" i="165" s="1"/>
  <c r="B173" i="165" a="1"/>
  <c r="B173" i="165" s="1"/>
  <c r="H173" i="165" s="1" a="1"/>
  <c r="H173" i="165" s="1"/>
  <c r="B166" i="165" a="1"/>
  <c r="B166" i="165" s="1"/>
  <c r="H166" i="165" s="1" a="1"/>
  <c r="H166" i="165" s="1"/>
  <c r="B162" i="165" a="1"/>
  <c r="B162" i="165" s="1"/>
  <c r="H162" i="165" s="1" a="1"/>
  <c r="H162" i="165" s="1"/>
  <c r="B159" i="165" a="1"/>
  <c r="B159" i="165" s="1"/>
  <c r="H159" i="165" s="1" a="1"/>
  <c r="H159" i="165" s="1"/>
  <c r="B156" i="165" a="1"/>
  <c r="B156" i="165" s="1"/>
  <c r="H156" i="165" s="1" a="1"/>
  <c r="H156" i="165" s="1"/>
  <c r="B148" i="165" a="1"/>
  <c r="B148" i="165" s="1"/>
  <c r="H148" i="165" s="1" a="1"/>
  <c r="H148" i="165" s="1"/>
  <c r="B142" i="165" a="1"/>
  <c r="B142" i="165" s="1"/>
  <c r="H142" i="165" s="1" a="1"/>
  <c r="H142" i="165" s="1"/>
  <c r="B133" i="165" a="1"/>
  <c r="B133" i="165" s="1"/>
  <c r="H133" i="165" s="1" a="1"/>
  <c r="H133" i="165" s="1"/>
  <c r="D133" i="165" s="1"/>
  <c r="B130" i="165" a="1"/>
  <c r="B130" i="165" s="1"/>
  <c r="H130" i="165" s="1" a="1"/>
  <c r="H130" i="165" s="1"/>
  <c r="B121" i="165" a="1"/>
  <c r="B121" i="165" s="1"/>
  <c r="H121" i="165" s="1" a="1"/>
  <c r="H121" i="165" s="1"/>
  <c r="D121" i="165" s="1"/>
  <c r="B119" i="165" a="1"/>
  <c r="B119" i="165" s="1"/>
  <c r="H119" i="165" s="1" a="1"/>
  <c r="H119" i="165" s="1"/>
  <c r="B112" i="165" a="1"/>
  <c r="B112" i="165" s="1"/>
  <c r="H112" i="165" s="1" a="1"/>
  <c r="H112" i="165" s="1"/>
  <c r="B109" i="165" a="1"/>
  <c r="B109" i="165" s="1"/>
  <c r="H109" i="165" s="1" a="1"/>
  <c r="H109" i="165" s="1"/>
  <c r="D109" i="165" s="1"/>
  <c r="B107" i="165" a="1"/>
  <c r="B107" i="165" s="1"/>
  <c r="H107" i="165" s="1" a="1"/>
  <c r="H107" i="165" s="1"/>
  <c r="B100" i="165" a="1"/>
  <c r="B100" i="165" s="1"/>
  <c r="H100" i="165" s="1" a="1"/>
  <c r="H100" i="165" s="1"/>
  <c r="B96" i="165" a="1"/>
  <c r="B96" i="165" s="1"/>
  <c r="H96" i="165" s="1" a="1"/>
  <c r="H96" i="165" s="1"/>
  <c r="B92" i="165" a="1"/>
  <c r="B92" i="165" s="1"/>
  <c r="H92" i="165" s="1" a="1"/>
  <c r="H92" i="165" s="1"/>
  <c r="B89" i="165" a="1"/>
  <c r="B89" i="165" s="1"/>
  <c r="H89" i="165" s="1" a="1"/>
  <c r="H89" i="165" s="1"/>
  <c r="B86" i="165" a="1"/>
  <c r="B86" i="165" s="1"/>
  <c r="H86" i="165" s="1" a="1"/>
  <c r="H86" i="165" s="1"/>
  <c r="B81" i="165" a="1"/>
  <c r="B81" i="165" s="1"/>
  <c r="H81" i="165" s="1" a="1"/>
  <c r="H81" i="165" s="1"/>
  <c r="B77" i="165" a="1"/>
  <c r="B77" i="165" s="1"/>
  <c r="H77" i="165" s="1" a="1"/>
  <c r="H77" i="165" s="1"/>
  <c r="B73" i="165" a="1"/>
  <c r="B73" i="165" s="1"/>
  <c r="H73" i="165" s="1" a="1"/>
  <c r="H73" i="165" s="1"/>
  <c r="D73" i="165" s="1"/>
  <c r="B68" i="165" a="1"/>
  <c r="B68" i="165" s="1"/>
  <c r="H68" i="165" s="1" a="1"/>
  <c r="H68" i="165" s="1"/>
  <c r="B64" i="165" a="1"/>
  <c r="B64" i="165" s="1"/>
  <c r="H64" i="165" s="1" a="1"/>
  <c r="H64" i="165" s="1"/>
  <c r="B60" i="165" a="1"/>
  <c r="B60" i="165" s="1"/>
  <c r="B46" i="165" a="1"/>
  <c r="B46" i="165" s="1"/>
  <c r="B40" i="165" a="1"/>
  <c r="B40" i="165" s="1"/>
  <c r="B35" i="165" a="1"/>
  <c r="B35" i="165" s="1"/>
  <c r="B30" i="165" a="1"/>
  <c r="B30" i="165" s="1"/>
  <c r="B108" i="166" a="1"/>
  <c r="B108" i="166" s="1"/>
  <c r="H108" i="166" s="1" a="1"/>
  <c r="H108" i="166" s="1"/>
  <c r="D108" i="166" s="1"/>
  <c r="B60" i="166" a="1"/>
  <c r="B60" i="166" s="1"/>
  <c r="H60" i="166" s="1" a="1"/>
  <c r="H60" i="166" s="1"/>
  <c r="D60" i="166" s="1"/>
  <c r="B12" i="166" a="1"/>
  <c r="B12" i="166" s="1"/>
  <c r="H12" i="166" s="1" a="1"/>
  <c r="H12" i="166" s="1"/>
  <c r="D12" i="166" s="1"/>
  <c r="B177" i="165" a="1"/>
  <c r="B177" i="165" s="1"/>
  <c r="H177" i="165" s="1" a="1"/>
  <c r="H177" i="165" s="1"/>
  <c r="B111" i="165" a="1"/>
  <c r="B111" i="165" s="1"/>
  <c r="H111" i="165" s="1" a="1"/>
  <c r="H111" i="165" s="1"/>
  <c r="B88" i="165" a="1"/>
  <c r="B88" i="165" s="1"/>
  <c r="H88" i="165" s="1" a="1"/>
  <c r="H88" i="165" s="1"/>
  <c r="B55" i="165" a="1"/>
  <c r="B55" i="165" s="1"/>
  <c r="B34" i="165" a="1"/>
  <c r="B34" i="165" s="1"/>
  <c r="B104" i="165" a="1"/>
  <c r="B104" i="165" s="1"/>
  <c r="H104" i="165" s="1" a="1"/>
  <c r="H104" i="165" s="1"/>
  <c r="B39" i="165" a="1"/>
  <c r="B39" i="165" s="1"/>
  <c r="B172" i="165" a="1"/>
  <c r="B172" i="165" s="1"/>
  <c r="H172" i="165" s="1" a="1"/>
  <c r="H172" i="165" s="1"/>
  <c r="B158" i="165" a="1"/>
  <c r="B158" i="165" s="1"/>
  <c r="H158" i="165" s="1" a="1"/>
  <c r="H158" i="165" s="1"/>
  <c r="B146" i="165" a="1"/>
  <c r="B146" i="165" s="1"/>
  <c r="H146" i="165" s="1" a="1"/>
  <c r="H146" i="165" s="1"/>
  <c r="B137" i="165" a="1"/>
  <c r="B137" i="165" s="1"/>
  <c r="H137" i="165" s="1" a="1"/>
  <c r="H137" i="165" s="1"/>
  <c r="B128" i="165" a="1"/>
  <c r="B128" i="165" s="1"/>
  <c r="H128" i="165" s="1" a="1"/>
  <c r="H128" i="165" s="1"/>
  <c r="B99" i="165" a="1"/>
  <c r="B99" i="165" s="1"/>
  <c r="H99" i="165" s="1" a="1"/>
  <c r="H99" i="165" s="1"/>
  <c r="B84" i="165" a="1"/>
  <c r="B84" i="165" s="1"/>
  <c r="H84" i="165" s="1" a="1"/>
  <c r="H84" i="165" s="1"/>
  <c r="B96" i="166" a="1"/>
  <c r="B96" i="166" s="1"/>
  <c r="H96" i="166" s="1" a="1"/>
  <c r="H96" i="166" s="1"/>
  <c r="D96" i="166" s="1"/>
  <c r="B123" i="165" a="1"/>
  <c r="B123" i="165" s="1"/>
  <c r="H123" i="165" s="1" a="1"/>
  <c r="H123" i="165" s="1"/>
  <c r="B59" i="165" a="1"/>
  <c r="B59" i="165" s="1"/>
  <c r="B169" i="165" a="1"/>
  <c r="B169" i="165" s="1"/>
  <c r="H169" i="165" s="1" a="1"/>
  <c r="H169" i="165" s="1"/>
  <c r="D169" i="165" s="1"/>
  <c r="B154" i="165" a="1"/>
  <c r="B154" i="165" s="1"/>
  <c r="H154" i="165" s="1" a="1"/>
  <c r="H154" i="165" s="1"/>
  <c r="B135" i="165" a="1"/>
  <c r="B135" i="165" s="1"/>
  <c r="H135" i="165" s="1" a="1"/>
  <c r="H135" i="165" s="1"/>
  <c r="B125" i="165" a="1"/>
  <c r="B125" i="165" s="1"/>
  <c r="H125" i="165" s="1" a="1"/>
  <c r="H125" i="165" s="1"/>
  <c r="B116" i="165" a="1"/>
  <c r="B116" i="165" s="1"/>
  <c r="H116" i="165" s="1" a="1"/>
  <c r="H116" i="165" s="1"/>
  <c r="B106" i="165" a="1"/>
  <c r="B106" i="165" s="1"/>
  <c r="H106" i="165" s="1" a="1"/>
  <c r="H106" i="165" s="1"/>
  <c r="B80" i="165" a="1"/>
  <c r="B80" i="165" s="1"/>
  <c r="H80" i="165" s="1" a="1"/>
  <c r="H80" i="165" s="1"/>
  <c r="B44" i="165" a="1"/>
  <c r="B44" i="165" s="1"/>
  <c r="B48" i="166" a="1"/>
  <c r="B48" i="166" s="1"/>
  <c r="H48" i="166" s="1" a="1"/>
  <c r="H48" i="166" s="1"/>
  <c r="D48" i="166" s="1"/>
  <c r="B76" i="165" a="1"/>
  <c r="B76" i="165" s="1"/>
  <c r="H76" i="165" s="1" a="1"/>
  <c r="H76" i="165" s="1"/>
  <c r="B59" i="167" a="1"/>
  <c r="B59" i="167" s="1"/>
  <c r="F59" i="167" s="1" a="1"/>
  <c r="F59" i="167" s="1"/>
  <c r="B43" i="167" a="1"/>
  <c r="B43" i="167" s="1"/>
  <c r="F43" i="167" s="1" a="1"/>
  <c r="F43" i="167" s="1"/>
  <c r="B19" i="167" a="1"/>
  <c r="B19" i="167" s="1"/>
  <c r="F19" i="167" s="1" a="1"/>
  <c r="F19" i="167" s="1"/>
  <c r="B79" i="166" a="1"/>
  <c r="B79" i="166" s="1"/>
  <c r="H79" i="166" s="1" a="1"/>
  <c r="H79" i="166" s="1"/>
  <c r="D79" i="166" s="1"/>
  <c r="B15" i="166" a="1"/>
  <c r="B15" i="166" s="1"/>
  <c r="H15" i="166" s="1" a="1"/>
  <c r="H15" i="166" s="1"/>
  <c r="D15" i="166" s="1"/>
  <c r="B66" i="167" a="1"/>
  <c r="B66" i="167" s="1"/>
  <c r="F66" i="167" s="1" a="1"/>
  <c r="F66" i="167" s="1"/>
  <c r="B50" i="167" a="1"/>
  <c r="B50" i="167" s="1"/>
  <c r="F50" i="167" s="1" a="1"/>
  <c r="F50" i="167" s="1"/>
  <c r="B34" i="167" a="1"/>
  <c r="B34" i="167" s="1"/>
  <c r="F34" i="167" s="1" a="1"/>
  <c r="F34" i="167" s="1"/>
  <c r="B18" i="167" a="1"/>
  <c r="B18" i="167" s="1"/>
  <c r="F18" i="167" s="1" a="1"/>
  <c r="F18" i="167" s="1"/>
  <c r="B122" i="166" a="1"/>
  <c r="B122" i="166" s="1"/>
  <c r="H122" i="166" s="1" a="1"/>
  <c r="H122" i="166" s="1"/>
  <c r="D122" i="166" s="1"/>
  <c r="B106" i="166" a="1"/>
  <c r="B106" i="166" s="1"/>
  <c r="H106" i="166" s="1" a="1"/>
  <c r="H106" i="166" s="1"/>
  <c r="D106" i="166" s="1"/>
  <c r="B90" i="166" a="1"/>
  <c r="B90" i="166" s="1"/>
  <c r="H90" i="166" s="1" a="1"/>
  <c r="H90" i="166" s="1"/>
  <c r="D90" i="166" s="1"/>
  <c r="B74" i="166" a="1"/>
  <c r="B74" i="166" s="1"/>
  <c r="H74" i="166" s="1" a="1"/>
  <c r="H74" i="166" s="1"/>
  <c r="D74" i="166" s="1"/>
  <c r="B58" i="166" a="1"/>
  <c r="B58" i="166" s="1"/>
  <c r="H58" i="166" s="1" a="1"/>
  <c r="H58" i="166" s="1"/>
  <c r="D58" i="166" s="1"/>
  <c r="B42" i="166" a="1"/>
  <c r="B42" i="166" s="1"/>
  <c r="H42" i="166" s="1" a="1"/>
  <c r="H42" i="166" s="1"/>
  <c r="D42" i="166" s="1"/>
  <c r="B26" i="166" a="1"/>
  <c r="B26" i="166" s="1"/>
  <c r="H26" i="166" s="1" a="1"/>
  <c r="H26" i="166" s="1"/>
  <c r="D26" i="166" s="1"/>
  <c r="B61" i="167" a="1"/>
  <c r="B61" i="167" s="1"/>
  <c r="F61" i="167" s="1" a="1"/>
  <c r="F61" i="167" s="1"/>
  <c r="B29" i="167" a="1"/>
  <c r="B29" i="167" s="1"/>
  <c r="F29" i="167" s="1" a="1"/>
  <c r="F29" i="167" s="1"/>
  <c r="B113" i="166" a="1"/>
  <c r="B113" i="166" s="1"/>
  <c r="H113" i="166" s="1" a="1"/>
  <c r="H113" i="166" s="1"/>
  <c r="D113" i="166" s="1"/>
  <c r="B85" i="166" a="1"/>
  <c r="B85" i="166" s="1"/>
  <c r="H85" i="166" s="1" a="1"/>
  <c r="H85" i="166" s="1"/>
  <c r="D85" i="166" s="1"/>
  <c r="B53" i="166" a="1"/>
  <c r="B53" i="166" s="1"/>
  <c r="H53" i="166" s="1" a="1"/>
  <c r="H53" i="166" s="1"/>
  <c r="D53" i="166" s="1"/>
  <c r="B33" i="166" a="1"/>
  <c r="B33" i="166" s="1"/>
  <c r="H33" i="166" s="1" a="1"/>
  <c r="H33" i="166" s="1"/>
  <c r="D33" i="166" s="1"/>
  <c r="B11" i="167" a="1"/>
  <c r="B11" i="167" s="1"/>
  <c r="F11" i="167" s="1" a="1"/>
  <c r="F11" i="167" s="1"/>
  <c r="B67" i="166" a="1"/>
  <c r="B67" i="166" s="1"/>
  <c r="H67" i="166" s="1" a="1"/>
  <c r="H67" i="166" s="1"/>
  <c r="D67" i="166" s="1"/>
  <c r="B41" i="167" a="1"/>
  <c r="B41" i="167" s="1"/>
  <c r="F41" i="167" s="1" a="1"/>
  <c r="F41" i="167" s="1"/>
  <c r="B129" i="166" a="1"/>
  <c r="B129" i="166" s="1"/>
  <c r="H129" i="166" s="1" a="1"/>
  <c r="H129" i="166" s="1"/>
  <c r="D129" i="166" s="1"/>
  <c r="B101" i="166" a="1"/>
  <c r="B101" i="166" s="1"/>
  <c r="H101" i="166" s="1" a="1"/>
  <c r="H101" i="166" s="1"/>
  <c r="D101" i="166" s="1"/>
  <c r="B65" i="166" a="1"/>
  <c r="B65" i="166" s="1"/>
  <c r="H65" i="166" s="1" a="1"/>
  <c r="H65" i="166" s="1"/>
  <c r="D65" i="166" s="1"/>
  <c r="B21" i="166" a="1"/>
  <c r="B21" i="166" s="1"/>
  <c r="H21" i="166" s="1" a="1"/>
  <c r="H21" i="166" s="1"/>
  <c r="D21" i="166" s="1"/>
  <c r="B71" i="166" a="1"/>
  <c r="B71" i="166" s="1"/>
  <c r="H71" i="166" s="1" a="1"/>
  <c r="H71" i="166" s="1"/>
  <c r="D71" i="166" s="1"/>
  <c r="B68" i="167" a="1"/>
  <c r="B68" i="167" s="1"/>
  <c r="F68" i="167" s="1" a="1"/>
  <c r="F68" i="167" s="1"/>
  <c r="B44" i="167" a="1"/>
  <c r="B44" i="167" s="1"/>
  <c r="F44" i="167" s="1" a="1"/>
  <c r="F44" i="167" s="1"/>
  <c r="B20" i="167" a="1"/>
  <c r="B20" i="167" s="1"/>
  <c r="F20" i="167" s="1" a="1"/>
  <c r="F20" i="167" s="1"/>
  <c r="B116" i="166" a="1"/>
  <c r="B116" i="166" s="1"/>
  <c r="H116" i="166" s="1" a="1"/>
  <c r="H116" i="166" s="1"/>
  <c r="D116" i="166" s="1"/>
  <c r="B92" i="166" a="1"/>
  <c r="B92" i="166" s="1"/>
  <c r="H92" i="166" s="1" a="1"/>
  <c r="H92" i="166" s="1"/>
  <c r="D92" i="166" s="1"/>
  <c r="B68" i="166" a="1"/>
  <c r="B68" i="166" s="1"/>
  <c r="H68" i="166" s="1" a="1"/>
  <c r="H68" i="166" s="1"/>
  <c r="D68" i="166" s="1"/>
  <c r="B44" i="166" a="1"/>
  <c r="B44" i="166" s="1"/>
  <c r="H44" i="166" s="1" a="1"/>
  <c r="H44" i="166" s="1"/>
  <c r="D44" i="166" s="1"/>
  <c r="B20" i="166" a="1"/>
  <c r="B20" i="166" s="1"/>
  <c r="H20" i="166" s="1" a="1"/>
  <c r="H20" i="166" s="1"/>
  <c r="D20" i="166" s="1"/>
  <c r="B23" i="167" a="1"/>
  <c r="B23" i="167" s="1"/>
  <c r="F23" i="167" s="1" a="1"/>
  <c r="F23" i="167" s="1"/>
  <c r="B91" i="166" a="1"/>
  <c r="B91" i="166" s="1"/>
  <c r="H91" i="166" s="1" a="1"/>
  <c r="H91" i="166" s="1"/>
  <c r="D91" i="166" s="1"/>
  <c r="B23" i="166" a="1"/>
  <c r="B23" i="166" s="1"/>
  <c r="H23" i="166" s="1" a="1"/>
  <c r="H23" i="166" s="1"/>
  <c r="D23" i="166" s="1"/>
  <c r="B55" i="167" a="1"/>
  <c r="B55" i="167" s="1"/>
  <c r="F55" i="167" s="1" a="1"/>
  <c r="F55" i="167" s="1"/>
  <c r="B39" i="167" a="1"/>
  <c r="B39" i="167" s="1"/>
  <c r="F39" i="167" s="1" a="1"/>
  <c r="F39" i="167" s="1"/>
  <c r="B127" i="166" a="1"/>
  <c r="B127" i="166" s="1"/>
  <c r="H127" i="166" s="1" a="1"/>
  <c r="H127" i="166" s="1"/>
  <c r="D127" i="166" s="1"/>
  <c r="B63" i="166" a="1"/>
  <c r="B63" i="166" s="1"/>
  <c r="H63" i="166" s="1" a="1"/>
  <c r="H63" i="166" s="1"/>
  <c r="D63" i="166" s="1"/>
  <c r="B62" i="167" a="1"/>
  <c r="B62" i="167" s="1"/>
  <c r="F62" i="167" s="1" a="1"/>
  <c r="F62" i="167" s="1"/>
  <c r="B46" i="167" a="1"/>
  <c r="B46" i="167" s="1"/>
  <c r="F46" i="167" s="1" a="1"/>
  <c r="F46" i="167" s="1"/>
  <c r="B30" i="167" a="1"/>
  <c r="B30" i="167" s="1"/>
  <c r="F30" i="167" s="1" a="1"/>
  <c r="F30" i="167" s="1"/>
  <c r="B14" i="167" a="1"/>
  <c r="B14" i="167" s="1"/>
  <c r="F14" i="167" s="1" a="1"/>
  <c r="F14" i="167" s="1"/>
  <c r="B118" i="166" a="1"/>
  <c r="B118" i="166" s="1"/>
  <c r="H118" i="166" s="1" a="1"/>
  <c r="H118" i="166" s="1"/>
  <c r="D118" i="166" s="1"/>
  <c r="B102" i="166" a="1"/>
  <c r="B102" i="166" s="1"/>
  <c r="H102" i="166" s="1" a="1"/>
  <c r="H102" i="166" s="1"/>
  <c r="D102" i="166" s="1"/>
  <c r="B86" i="166" a="1"/>
  <c r="B86" i="166" s="1"/>
  <c r="H86" i="166" s="1" a="1"/>
  <c r="H86" i="166" s="1"/>
  <c r="D86" i="166" s="1"/>
  <c r="B70" i="166" a="1"/>
  <c r="B70" i="166" s="1"/>
  <c r="H70" i="166" s="1" a="1"/>
  <c r="H70" i="166" s="1"/>
  <c r="D70" i="166" s="1"/>
  <c r="B54" i="166" a="1"/>
  <c r="B54" i="166" s="1"/>
  <c r="H54" i="166" s="1" a="1"/>
  <c r="H54" i="166" s="1"/>
  <c r="D54" i="166" s="1"/>
  <c r="B38" i="166" a="1"/>
  <c r="B38" i="166" s="1"/>
  <c r="H38" i="166" s="1" a="1"/>
  <c r="H38" i="166" s="1"/>
  <c r="D38" i="166" s="1"/>
  <c r="B22" i="166" a="1"/>
  <c r="B22" i="166" s="1"/>
  <c r="H22" i="166" s="1" a="1"/>
  <c r="H22" i="166" s="1"/>
  <c r="D22" i="166" s="1"/>
  <c r="B53" i="167" a="1"/>
  <c r="B53" i="167" s="1"/>
  <c r="F53" i="167" s="1" a="1"/>
  <c r="F53" i="167" s="1"/>
  <c r="B21" i="167" a="1"/>
  <c r="B21" i="167" s="1"/>
  <c r="F21" i="167" s="1" a="1"/>
  <c r="F21" i="167" s="1"/>
  <c r="B105" i="166" a="1"/>
  <c r="B105" i="166" s="1"/>
  <c r="H105" i="166" s="1" a="1"/>
  <c r="H105" i="166" s="1"/>
  <c r="D105" i="166" s="1"/>
  <c r="B77" i="166" a="1"/>
  <c r="B77" i="166" s="1"/>
  <c r="H77" i="166" s="1" a="1"/>
  <c r="H77" i="166" s="1"/>
  <c r="D77" i="166" s="1"/>
  <c r="B45" i="166" a="1"/>
  <c r="B45" i="166" s="1"/>
  <c r="H45" i="166" s="1" a="1"/>
  <c r="H45" i="166" s="1"/>
  <c r="D45" i="166" s="1"/>
  <c r="B25" i="166" a="1"/>
  <c r="B25" i="166" s="1"/>
  <c r="H25" i="166" s="1" a="1"/>
  <c r="H25" i="166" s="1"/>
  <c r="D25" i="166" s="1"/>
  <c r="B115" i="166" a="1"/>
  <c r="B115" i="166" s="1"/>
  <c r="H115" i="166" s="1" a="1"/>
  <c r="H115" i="166" s="1"/>
  <c r="D115" i="166" s="1"/>
  <c r="B51" i="166" a="1"/>
  <c r="B51" i="166" s="1"/>
  <c r="H51" i="166" s="1" a="1"/>
  <c r="H51" i="166" s="1"/>
  <c r="D51" i="166" s="1"/>
  <c r="B69" i="167" a="1"/>
  <c r="B69" i="167" s="1"/>
  <c r="F69" i="167" s="1" a="1"/>
  <c r="F69" i="167" s="1"/>
  <c r="B33" i="167" a="1"/>
  <c r="B33" i="167" s="1"/>
  <c r="F33" i="167" s="1" a="1"/>
  <c r="F33" i="167" s="1"/>
  <c r="B121" i="166" a="1"/>
  <c r="B121" i="166" s="1"/>
  <c r="H121" i="166" s="1" a="1"/>
  <c r="H121" i="166" s="1"/>
  <c r="D121" i="166" s="1"/>
  <c r="B93" i="166" a="1"/>
  <c r="B93" i="166" s="1"/>
  <c r="H93" i="166" s="1" a="1"/>
  <c r="H93" i="166" s="1"/>
  <c r="D93" i="166" s="1"/>
  <c r="B57" i="166" a="1"/>
  <c r="B57" i="166" s="1"/>
  <c r="H57" i="166" s="1" a="1"/>
  <c r="H57" i="166" s="1"/>
  <c r="D57" i="166" s="1"/>
  <c r="B119" i="166" a="1"/>
  <c r="B119" i="166" s="1"/>
  <c r="H119" i="166" s="1" a="1"/>
  <c r="H119" i="166" s="1"/>
  <c r="D119" i="166" s="1"/>
  <c r="B55" i="166" a="1"/>
  <c r="B55" i="166" s="1"/>
  <c r="H55" i="166" s="1" a="1"/>
  <c r="H55" i="166" s="1"/>
  <c r="D55" i="166" s="1"/>
  <c r="B64" i="167" a="1"/>
  <c r="B64" i="167" s="1"/>
  <c r="F64" i="167" s="1" a="1"/>
  <c r="F64" i="167" s="1"/>
  <c r="B40" i="167" a="1"/>
  <c r="B40" i="167" s="1"/>
  <c r="F40" i="167" s="1" a="1"/>
  <c r="F40" i="167" s="1"/>
  <c r="B16" i="167" a="1"/>
  <c r="B16" i="167" s="1"/>
  <c r="F16" i="167" s="1" a="1"/>
  <c r="F16" i="167" s="1"/>
  <c r="B112" i="166" a="1"/>
  <c r="B112" i="166" s="1"/>
  <c r="H112" i="166" s="1" a="1"/>
  <c r="H112" i="166" s="1"/>
  <c r="D112" i="166" s="1"/>
  <c r="B88" i="166" a="1"/>
  <c r="B88" i="166" s="1"/>
  <c r="H88" i="166" s="1" a="1"/>
  <c r="H88" i="166" s="1"/>
  <c r="D88" i="166" s="1"/>
  <c r="B64" i="166" a="1"/>
  <c r="B64" i="166" s="1"/>
  <c r="H64" i="166" s="1" a="1"/>
  <c r="H64" i="166" s="1"/>
  <c r="D64" i="166" s="1"/>
  <c r="B40" i="166" a="1"/>
  <c r="B40" i="166" s="1"/>
  <c r="H40" i="166" s="1" a="1"/>
  <c r="H40" i="166" s="1"/>
  <c r="D40" i="166" s="1"/>
  <c r="B16" i="166" a="1"/>
  <c r="B16" i="166" s="1"/>
  <c r="H16" i="166" s="1" a="1"/>
  <c r="H16" i="166" s="1"/>
  <c r="D16" i="166" s="1"/>
  <c r="B15" i="167" a="1"/>
  <c r="B15" i="167" s="1"/>
  <c r="F15" i="167" s="1" a="1"/>
  <c r="F15" i="167" s="1"/>
  <c r="B75" i="166" a="1"/>
  <c r="B75" i="166" s="1"/>
  <c r="H75" i="166" s="1" a="1"/>
  <c r="H75" i="166" s="1"/>
  <c r="D75" i="166" s="1"/>
  <c r="B11" i="166" a="1"/>
  <c r="B11" i="166" s="1"/>
  <c r="H11" i="166" s="1" a="1"/>
  <c r="H11" i="166" s="1"/>
  <c r="D11" i="166" s="1"/>
  <c r="HO5" i="32"/>
  <c r="HO6" i="32"/>
  <c r="HO3" i="32"/>
  <c r="HO7" i="32"/>
  <c r="HO4" i="32"/>
  <c r="HO2" i="32"/>
  <c r="B2" i="167"/>
  <c r="B2" i="165"/>
  <c r="B2" i="166"/>
  <c r="B18" i="139"/>
  <c r="B17" i="139"/>
  <c r="B16" i="139"/>
  <c r="B2" i="89"/>
  <c r="B2" i="132"/>
  <c r="B2" i="143"/>
  <c r="B2" i="131"/>
  <c r="B2" i="135"/>
  <c r="B2" i="136"/>
  <c r="B2" i="130"/>
  <c r="B2" i="128"/>
  <c r="B2" i="145"/>
  <c r="B2" i="133"/>
  <c r="B2" i="125"/>
  <c r="A12" i="164" l="1"/>
  <c r="A5" i="70"/>
  <c r="A9" i="70"/>
  <c r="A13" i="70"/>
  <c r="A6" i="70"/>
  <c r="A10" i="70"/>
  <c r="A14" i="70"/>
  <c r="A3" i="70"/>
  <c r="A7" i="70"/>
  <c r="A11" i="70"/>
  <c r="A15" i="70"/>
  <c r="A12" i="70"/>
  <c r="A16" i="70"/>
  <c r="A4" i="70"/>
  <c r="A8" i="70"/>
  <c r="F1" i="166"/>
  <c r="D60" i="1"/>
  <c r="I60" i="1"/>
  <c r="B60" i="1" s="1"/>
  <c r="I59" i="1"/>
  <c r="E202" i="1"/>
  <c r="D202" i="1"/>
  <c r="E201" i="1"/>
  <c r="E200" i="1"/>
  <c r="D200" i="1"/>
  <c r="E198" i="1"/>
  <c r="E197" i="1"/>
  <c r="D197" i="1"/>
  <c r="D196" i="1"/>
  <c r="D194" i="1"/>
  <c r="D193" i="1"/>
  <c r="E192" i="1"/>
  <c r="D191" i="1"/>
  <c r="E185" i="1"/>
  <c r="D185" i="1"/>
  <c r="E184" i="1"/>
  <c r="E183" i="1"/>
  <c r="D183" i="1"/>
  <c r="E181" i="1"/>
  <c r="E180" i="1"/>
  <c r="D180" i="1"/>
  <c r="D179" i="1"/>
  <c r="D177" i="1"/>
  <c r="D176" i="1"/>
  <c r="E175" i="1"/>
  <c r="D174" i="1"/>
  <c r="E168" i="1"/>
  <c r="D168" i="1"/>
  <c r="E167" i="1"/>
  <c r="E166" i="1"/>
  <c r="D166" i="1"/>
  <c r="E164" i="1"/>
  <c r="E163" i="1"/>
  <c r="D163" i="1"/>
  <c r="D162" i="1"/>
  <c r="D160" i="1"/>
  <c r="D159" i="1"/>
  <c r="E158" i="1"/>
  <c r="D157" i="1"/>
  <c r="E151" i="1"/>
  <c r="D151" i="1"/>
  <c r="E150" i="1"/>
  <c r="E149" i="1"/>
  <c r="D149" i="1"/>
  <c r="E147" i="1"/>
  <c r="E146" i="1"/>
  <c r="D146" i="1"/>
  <c r="D145" i="1"/>
  <c r="D143" i="1"/>
  <c r="D142" i="1"/>
  <c r="E141" i="1"/>
  <c r="D140" i="1"/>
  <c r="E134" i="1"/>
  <c r="D134" i="1"/>
  <c r="E133" i="1"/>
  <c r="D132" i="1"/>
  <c r="E89" i="1"/>
  <c r="D25" i="1"/>
  <c r="E129" i="1"/>
  <c r="E130" i="1"/>
  <c r="E132" i="1"/>
  <c r="D90" i="1"/>
  <c r="D129" i="1"/>
  <c r="D128" i="1"/>
  <c r="D126" i="1"/>
  <c r="E124" i="1"/>
  <c r="D95" i="1"/>
  <c r="E115" i="1"/>
  <c r="E108" i="1"/>
  <c r="D118" i="1"/>
  <c r="D117" i="1"/>
  <c r="D116" i="1"/>
  <c r="D112" i="1"/>
  <c r="D111" i="1"/>
  <c r="D110" i="1"/>
  <c r="D109" i="1"/>
  <c r="D105" i="1"/>
  <c r="D104" i="1"/>
  <c r="D103" i="1"/>
  <c r="D98" i="1"/>
  <c r="I96" i="1"/>
  <c r="B96" i="1" s="1"/>
  <c r="I97" i="1"/>
  <c r="B97" i="1" s="1"/>
  <c r="L115" i="1"/>
  <c r="C115" i="1" s="1"/>
  <c r="L108" i="1"/>
  <c r="C108" i="1" s="1"/>
  <c r="L97" i="1"/>
  <c r="C97" i="1" s="1"/>
  <c r="L96" i="1"/>
  <c r="L95" i="1"/>
  <c r="E92" i="1"/>
  <c r="D93" i="1"/>
  <c r="D87" i="1"/>
  <c r="D73" i="1"/>
  <c r="D72" i="1"/>
  <c r="L73" i="1"/>
  <c r="L72" i="1"/>
  <c r="D71" i="1"/>
  <c r="D69" i="1"/>
  <c r="D68" i="1"/>
  <c r="D48" i="1"/>
  <c r="D46" i="1"/>
  <c r="I69" i="1"/>
  <c r="L68" i="1"/>
  <c r="L43" i="1"/>
  <c r="L42" i="1"/>
  <c r="D86" i="1"/>
  <c r="D52" i="1"/>
  <c r="I54" i="1"/>
  <c r="B54" i="1" s="1"/>
  <c r="I53" i="1"/>
  <c r="B53" i="1" s="1"/>
  <c r="B5" i="1"/>
  <c r="B6" i="1"/>
  <c r="B9" i="1"/>
  <c r="B10" i="1"/>
  <c r="B7" i="1"/>
  <c r="B8" i="1"/>
  <c r="B11" i="1"/>
  <c r="B12" i="1"/>
  <c r="B31" i="1"/>
  <c r="B32" i="1"/>
  <c r="B33" i="1"/>
  <c r="B34" i="1"/>
  <c r="B35" i="1"/>
  <c r="B13" i="1"/>
  <c r="B14" i="1"/>
  <c r="B15" i="1"/>
  <c r="B16" i="1"/>
  <c r="B17" i="1"/>
  <c r="B18" i="1"/>
  <c r="B20" i="1"/>
  <c r="B21" i="1"/>
  <c r="B22" i="1"/>
  <c r="B36" i="1"/>
  <c r="B37" i="1"/>
  <c r="B38" i="1"/>
  <c r="B45" i="1"/>
  <c r="B47" i="1"/>
  <c r="B48" i="1"/>
  <c r="B49" i="1"/>
  <c r="B50" i="1"/>
  <c r="B51" i="1"/>
  <c r="B52" i="1"/>
  <c r="B56" i="1"/>
  <c r="B57" i="1"/>
  <c r="B24" i="1"/>
  <c r="B26" i="1"/>
  <c r="B27" i="1"/>
  <c r="B42" i="1"/>
  <c r="B43" i="1"/>
  <c r="B28" i="1"/>
  <c r="B61" i="1"/>
  <c r="B62" i="1"/>
  <c r="B63" i="1"/>
  <c r="B64" i="1"/>
  <c r="B65" i="1"/>
  <c r="B66" i="1"/>
  <c r="B67" i="1"/>
  <c r="B68" i="1"/>
  <c r="B94" i="1"/>
  <c r="B95" i="1"/>
  <c r="B99" i="1"/>
  <c r="B100" i="1"/>
  <c r="D125" i="1"/>
  <c r="D123" i="1"/>
  <c r="D102" i="1"/>
  <c r="D101" i="1"/>
  <c r="D100" i="1"/>
  <c r="D84" i="1"/>
  <c r="D83" i="1"/>
  <c r="D82" i="1"/>
  <c r="D76" i="1"/>
  <c r="D77" i="1"/>
  <c r="D78" i="1"/>
  <c r="D79" i="1"/>
  <c r="D80" i="1"/>
  <c r="D75" i="1"/>
  <c r="D43" i="1"/>
  <c r="D44" i="1"/>
  <c r="D42" i="1"/>
  <c r="D58" i="1"/>
  <c r="D51" i="1"/>
  <c r="D45" i="1"/>
  <c r="D41" i="1"/>
  <c r="D40" i="1"/>
  <c r="D38" i="1"/>
  <c r="D22" i="1"/>
  <c r="D39" i="1"/>
  <c r="D20" i="1"/>
  <c r="D15" i="1"/>
  <c r="D16" i="1"/>
  <c r="D35" i="1"/>
  <c r="D34" i="1"/>
  <c r="D32" i="1"/>
  <c r="F8" i="70" l="1" a="1"/>
  <c r="F8" i="70" s="1"/>
  <c r="G8" i="70" a="1"/>
  <c r="G8" i="70" s="1"/>
  <c r="H8" i="70" s="1"/>
  <c r="F14" i="70" a="1"/>
  <c r="F14" i="70" s="1"/>
  <c r="G14" i="70" a="1"/>
  <c r="G14" i="70" s="1"/>
  <c r="H14" i="70" s="1"/>
  <c r="G9" i="70" a="1"/>
  <c r="G9" i="70" s="1"/>
  <c r="H9" i="70" s="1"/>
  <c r="F9" i="70" a="1"/>
  <c r="F9" i="70" s="1"/>
  <c r="G11" i="70" a="1"/>
  <c r="G11" i="70" s="1"/>
  <c r="H11" i="70" s="1"/>
  <c r="F11" i="70" a="1"/>
  <c r="F11" i="70" s="1"/>
  <c r="F10" i="70" a="1"/>
  <c r="F10" i="70" s="1"/>
  <c r="G10" i="70" a="1"/>
  <c r="G10" i="70" s="1"/>
  <c r="H10" i="70" s="1"/>
  <c r="G5" i="70" a="1"/>
  <c r="G5" i="70" s="1"/>
  <c r="H5" i="70" s="1"/>
  <c r="F5" i="70" a="1"/>
  <c r="F5" i="70" s="1"/>
  <c r="G7" i="70" a="1"/>
  <c r="G7" i="70" s="1"/>
  <c r="H7" i="70" s="1"/>
  <c r="F7" i="70" a="1"/>
  <c r="F7" i="70" s="1"/>
  <c r="F6" i="70" a="1"/>
  <c r="F6" i="70" s="1"/>
  <c r="G6" i="70" a="1"/>
  <c r="G6" i="70" s="1"/>
  <c r="H6" i="70" s="1"/>
  <c r="F12" i="70" a="1"/>
  <c r="F12" i="70" s="1"/>
  <c r="G12" i="70" a="1"/>
  <c r="G12" i="70" s="1"/>
  <c r="H12" i="70" s="1"/>
  <c r="G13" i="70" a="1"/>
  <c r="G13" i="70" s="1"/>
  <c r="H13" i="70" s="1"/>
  <c r="F13" i="70" a="1"/>
  <c r="F13" i="70" s="1"/>
  <c r="EG3" i="32"/>
  <c r="EG7" i="32"/>
  <c r="EG4" i="32"/>
  <c r="EG2" i="32"/>
  <c r="EG6" i="32"/>
  <c r="EG5" i="32"/>
  <c r="C17" i="139"/>
  <c r="F73" i="163"/>
  <c r="D73" i="163"/>
  <c r="E73" i="163"/>
  <c r="F133" i="163"/>
  <c r="D133" i="163"/>
  <c r="E133" i="163"/>
  <c r="F279" i="163"/>
  <c r="E279" i="163"/>
  <c r="D279" i="163"/>
  <c r="E106" i="163"/>
  <c r="F106" i="163"/>
  <c r="D106" i="163"/>
  <c r="F157" i="163"/>
  <c r="E157" i="163"/>
  <c r="D157" i="163"/>
  <c r="F286" i="163"/>
  <c r="E286" i="163"/>
  <c r="D286" i="163"/>
  <c r="F25" i="163"/>
  <c r="E25" i="163"/>
  <c r="D25" i="163"/>
  <c r="F205" i="163"/>
  <c r="E205" i="163"/>
  <c r="D205" i="163"/>
  <c r="F254" i="163"/>
  <c r="E254" i="163"/>
  <c r="D254" i="163"/>
  <c r="D301" i="163"/>
  <c r="F301" i="163"/>
  <c r="E301" i="163"/>
  <c r="D258" i="163"/>
  <c r="F258" i="163"/>
  <c r="E258" i="163"/>
  <c r="E234" i="163"/>
  <c r="F234" i="163"/>
  <c r="D234" i="163"/>
  <c r="D202" i="163"/>
  <c r="F202" i="163"/>
  <c r="E202" i="163"/>
  <c r="F170" i="163"/>
  <c r="D170" i="163"/>
  <c r="E170" i="163"/>
  <c r="D138" i="163"/>
  <c r="F138" i="163"/>
  <c r="E138" i="163"/>
  <c r="F69" i="163"/>
  <c r="D69" i="163"/>
  <c r="E69" i="163"/>
  <c r="B5" i="163"/>
  <c r="D305" i="163"/>
  <c r="F305" i="163"/>
  <c r="E305" i="163"/>
  <c r="F283" i="163"/>
  <c r="E283" i="163"/>
  <c r="D283" i="163"/>
  <c r="D262" i="163"/>
  <c r="E262" i="163"/>
  <c r="F262" i="163"/>
  <c r="E241" i="163"/>
  <c r="F241" i="163"/>
  <c r="D241" i="163"/>
  <c r="F209" i="163"/>
  <c r="E209" i="163"/>
  <c r="D209" i="163"/>
  <c r="F177" i="163"/>
  <c r="E177" i="163"/>
  <c r="D177" i="163"/>
  <c r="D145" i="163"/>
  <c r="F145" i="163"/>
  <c r="E145" i="163"/>
  <c r="D113" i="163"/>
  <c r="F113" i="163"/>
  <c r="E113" i="163"/>
  <c r="F81" i="163"/>
  <c r="D81" i="163"/>
  <c r="E81" i="163"/>
  <c r="F17" i="163"/>
  <c r="E17" i="163"/>
  <c r="D17" i="163"/>
  <c r="F303" i="163"/>
  <c r="E303" i="163"/>
  <c r="D303" i="163"/>
  <c r="F282" i="163"/>
  <c r="O282" i="163" s="1"/>
  <c r="E282" i="163"/>
  <c r="D282" i="163"/>
  <c r="D261" i="163"/>
  <c r="E261" i="163"/>
  <c r="F261" i="163"/>
  <c r="D238" i="163"/>
  <c r="F238" i="163"/>
  <c r="E238" i="163"/>
  <c r="D206" i="163"/>
  <c r="E206" i="163"/>
  <c r="F206" i="163"/>
  <c r="F174" i="163"/>
  <c r="E174" i="163"/>
  <c r="D174" i="163"/>
  <c r="F142" i="163"/>
  <c r="E142" i="163"/>
  <c r="D142" i="163"/>
  <c r="F110" i="163"/>
  <c r="E110" i="163"/>
  <c r="D110" i="163"/>
  <c r="D77" i="163"/>
  <c r="F77" i="163"/>
  <c r="E77" i="163"/>
  <c r="F13" i="163"/>
  <c r="E13" i="163"/>
  <c r="D13" i="163"/>
  <c r="F300" i="163"/>
  <c r="D300" i="163"/>
  <c r="E300" i="163"/>
  <c r="F284" i="163"/>
  <c r="D284" i="163"/>
  <c r="E284" i="163"/>
  <c r="F268" i="163"/>
  <c r="E268" i="163"/>
  <c r="D268" i="163"/>
  <c r="E252" i="163"/>
  <c r="F252" i="163"/>
  <c r="D252" i="163"/>
  <c r="E236" i="163"/>
  <c r="F236" i="163"/>
  <c r="D236" i="163"/>
  <c r="E220" i="163"/>
  <c r="D220" i="163"/>
  <c r="F220" i="163"/>
  <c r="D204" i="163"/>
  <c r="F204" i="163"/>
  <c r="O204" i="163" s="1"/>
  <c r="E204" i="163"/>
  <c r="F188" i="163"/>
  <c r="E188" i="163"/>
  <c r="D188" i="163"/>
  <c r="F172" i="163"/>
  <c r="E172" i="163"/>
  <c r="D172" i="163"/>
  <c r="D156" i="163"/>
  <c r="F156" i="163"/>
  <c r="E156" i="163"/>
  <c r="F140" i="163"/>
  <c r="D140" i="163"/>
  <c r="E140" i="163"/>
  <c r="F124" i="163"/>
  <c r="D124" i="163"/>
  <c r="E124" i="163"/>
  <c r="D108" i="163"/>
  <c r="E108" i="163"/>
  <c r="F108" i="163"/>
  <c r="F92" i="163"/>
  <c r="D92" i="163"/>
  <c r="E92" i="163"/>
  <c r="F76" i="163"/>
  <c r="E76" i="163"/>
  <c r="D76" i="163"/>
  <c r="E60" i="163"/>
  <c r="D60" i="163"/>
  <c r="F60" i="163"/>
  <c r="O60" i="163" s="1"/>
  <c r="E44" i="163"/>
  <c r="F44" i="163"/>
  <c r="D44" i="163"/>
  <c r="B28" i="163"/>
  <c r="B51" i="165" s="1" a="1"/>
  <c r="B51" i="165" s="1"/>
  <c r="F12" i="163"/>
  <c r="D12" i="163"/>
  <c r="E12" i="163"/>
  <c r="E231" i="163"/>
  <c r="D231" i="163"/>
  <c r="F231" i="163"/>
  <c r="F215" i="163"/>
  <c r="O215" i="163" s="1"/>
  <c r="E215" i="163"/>
  <c r="D215" i="163"/>
  <c r="F199" i="163"/>
  <c r="E199" i="163"/>
  <c r="D199" i="163"/>
  <c r="F183" i="163"/>
  <c r="E183" i="163"/>
  <c r="D183" i="163"/>
  <c r="E167" i="163"/>
  <c r="F167" i="163"/>
  <c r="D167" i="163"/>
  <c r="F151" i="163"/>
  <c r="E151" i="163"/>
  <c r="D151" i="163"/>
  <c r="E135" i="163"/>
  <c r="D135" i="163"/>
  <c r="F135" i="163"/>
  <c r="E119" i="163"/>
  <c r="D119" i="163"/>
  <c r="F119" i="163"/>
  <c r="F103" i="163"/>
  <c r="E103" i="163"/>
  <c r="D103" i="163"/>
  <c r="F87" i="163"/>
  <c r="E87" i="163"/>
  <c r="D87" i="163"/>
  <c r="F71" i="163"/>
  <c r="O71" i="163" s="1"/>
  <c r="E71" i="163"/>
  <c r="D71" i="163"/>
  <c r="F55" i="163"/>
  <c r="E55" i="163"/>
  <c r="D55" i="163"/>
  <c r="F39" i="163"/>
  <c r="E39" i="163"/>
  <c r="D39" i="163"/>
  <c r="F23" i="163"/>
  <c r="E23" i="163"/>
  <c r="D23" i="163"/>
  <c r="B7" i="163"/>
  <c r="B26" i="165" s="1" a="1"/>
  <c r="B26" i="165" s="1"/>
  <c r="E66" i="163"/>
  <c r="F66" i="163"/>
  <c r="D66" i="163"/>
  <c r="F50" i="163"/>
  <c r="E50" i="163"/>
  <c r="D50" i="163"/>
  <c r="F34" i="163"/>
  <c r="E34" i="163"/>
  <c r="D34" i="163"/>
  <c r="F18" i="163"/>
  <c r="E18" i="163"/>
  <c r="D18" i="163"/>
  <c r="D125" i="163"/>
  <c r="F125" i="163"/>
  <c r="E125" i="163"/>
  <c r="D313" i="163"/>
  <c r="F313" i="163"/>
  <c r="E313" i="163"/>
  <c r="E189" i="163"/>
  <c r="F189" i="163"/>
  <c r="D189" i="163"/>
  <c r="E265" i="163"/>
  <c r="F265" i="163"/>
  <c r="D265" i="163"/>
  <c r="F149" i="163"/>
  <c r="O149" i="163" s="1"/>
  <c r="D149" i="163"/>
  <c r="E149" i="163"/>
  <c r="F281" i="163"/>
  <c r="D281" i="163"/>
  <c r="E281" i="163"/>
  <c r="E173" i="163"/>
  <c r="F173" i="163"/>
  <c r="D173" i="163"/>
  <c r="F9" i="163"/>
  <c r="E9" i="163"/>
  <c r="D9" i="163"/>
  <c r="E229" i="163"/>
  <c r="D229" i="163"/>
  <c r="F229" i="163"/>
  <c r="D101" i="163"/>
  <c r="F101" i="163"/>
  <c r="E101" i="163"/>
  <c r="E295" i="163"/>
  <c r="D295" i="163"/>
  <c r="F295" i="163"/>
  <c r="F274" i="163"/>
  <c r="E274" i="163"/>
  <c r="D274" i="163"/>
  <c r="D253" i="163"/>
  <c r="E253" i="163"/>
  <c r="F253" i="163"/>
  <c r="D226" i="163"/>
  <c r="F226" i="163"/>
  <c r="O226" i="163" s="1"/>
  <c r="E226" i="163"/>
  <c r="F194" i="163"/>
  <c r="E194" i="163"/>
  <c r="D194" i="163"/>
  <c r="D162" i="163"/>
  <c r="F162" i="163"/>
  <c r="E162" i="163"/>
  <c r="F130" i="163"/>
  <c r="D130" i="163"/>
  <c r="E130" i="163"/>
  <c r="E98" i="163"/>
  <c r="D98" i="163"/>
  <c r="F98" i="163"/>
  <c r="F53" i="163"/>
  <c r="D53" i="163"/>
  <c r="E53" i="163"/>
  <c r="D299" i="163"/>
  <c r="F299" i="163"/>
  <c r="E299" i="163"/>
  <c r="F278" i="163"/>
  <c r="E278" i="163"/>
  <c r="D278" i="163"/>
  <c r="D257" i="163"/>
  <c r="E257" i="163"/>
  <c r="F257" i="163"/>
  <c r="D233" i="163"/>
  <c r="F233" i="163"/>
  <c r="E233" i="163"/>
  <c r="F201" i="163"/>
  <c r="D201" i="163"/>
  <c r="E201" i="163"/>
  <c r="E169" i="163"/>
  <c r="F169" i="163"/>
  <c r="D169" i="163"/>
  <c r="D137" i="163"/>
  <c r="F137" i="163"/>
  <c r="O137" i="163" s="1"/>
  <c r="E137" i="163"/>
  <c r="D105" i="163"/>
  <c r="F105" i="163"/>
  <c r="E105" i="163"/>
  <c r="F65" i="163"/>
  <c r="D65" i="163"/>
  <c r="E65" i="163"/>
  <c r="D298" i="163"/>
  <c r="F298" i="163"/>
  <c r="E298" i="163"/>
  <c r="D277" i="163"/>
  <c r="F277" i="163"/>
  <c r="E277" i="163"/>
  <c r="E255" i="163"/>
  <c r="D255" i="163"/>
  <c r="F255" i="163"/>
  <c r="F230" i="163"/>
  <c r="E230" i="163"/>
  <c r="D230" i="163"/>
  <c r="F198" i="163"/>
  <c r="D198" i="163"/>
  <c r="E198" i="163"/>
  <c r="F166" i="163"/>
  <c r="D166" i="163"/>
  <c r="E166" i="163"/>
  <c r="F134" i="163"/>
  <c r="E134" i="163"/>
  <c r="D134" i="163"/>
  <c r="E102" i="163"/>
  <c r="F102" i="163"/>
  <c r="D102" i="163"/>
  <c r="F61" i="163"/>
  <c r="D61" i="163"/>
  <c r="E61" i="163"/>
  <c r="E312" i="163"/>
  <c r="F312" i="163"/>
  <c r="D312" i="163"/>
  <c r="F296" i="163"/>
  <c r="D296" i="163"/>
  <c r="E296" i="163"/>
  <c r="E280" i="163"/>
  <c r="D280" i="163"/>
  <c r="F280" i="163"/>
  <c r="D264" i="163"/>
  <c r="F264" i="163"/>
  <c r="E264" i="163"/>
  <c r="F248" i="163"/>
  <c r="O248" i="163" s="1"/>
  <c r="D248" i="163"/>
  <c r="E248" i="163"/>
  <c r="F232" i="163"/>
  <c r="E232" i="163"/>
  <c r="D232" i="163"/>
  <c r="F216" i="163"/>
  <c r="E216" i="163"/>
  <c r="D216" i="163"/>
  <c r="E200" i="163"/>
  <c r="D200" i="163"/>
  <c r="F200" i="163"/>
  <c r="E184" i="163"/>
  <c r="D184" i="163"/>
  <c r="F184" i="163"/>
  <c r="F168" i="163"/>
  <c r="E168" i="163"/>
  <c r="D168" i="163"/>
  <c r="E152" i="163"/>
  <c r="D152" i="163"/>
  <c r="F152" i="163"/>
  <c r="E136" i="163"/>
  <c r="F136" i="163"/>
  <c r="D136" i="163"/>
  <c r="F120" i="163"/>
  <c r="E120" i="163"/>
  <c r="D120" i="163"/>
  <c r="E104" i="163"/>
  <c r="F104" i="163"/>
  <c r="O104" i="163" s="1"/>
  <c r="D104" i="163"/>
  <c r="E88" i="163"/>
  <c r="D88" i="163"/>
  <c r="F88" i="163"/>
  <c r="E72" i="163"/>
  <c r="F72" i="163"/>
  <c r="D72" i="163"/>
  <c r="E56" i="163"/>
  <c r="D56" i="163"/>
  <c r="F56" i="163"/>
  <c r="F40" i="163"/>
  <c r="D40" i="163"/>
  <c r="E40" i="163"/>
  <c r="E24" i="163"/>
  <c r="D24" i="163"/>
  <c r="F24" i="163"/>
  <c r="B8" i="163"/>
  <c r="B28" i="165" s="1" a="1"/>
  <c r="B28" i="165" s="1"/>
  <c r="D227" i="163"/>
  <c r="F227" i="163"/>
  <c r="E227" i="163"/>
  <c r="F211" i="163"/>
  <c r="E211" i="163"/>
  <c r="D211" i="163"/>
  <c r="D195" i="163"/>
  <c r="E195" i="163"/>
  <c r="F195" i="163"/>
  <c r="F179" i="163"/>
  <c r="E179" i="163"/>
  <c r="D179" i="163"/>
  <c r="E163" i="163"/>
  <c r="F163" i="163"/>
  <c r="D163" i="163"/>
  <c r="F147" i="163"/>
  <c r="E147" i="163"/>
  <c r="D147" i="163"/>
  <c r="F131" i="163"/>
  <c r="E131" i="163"/>
  <c r="D131" i="163"/>
  <c r="D115" i="163"/>
  <c r="F115" i="163"/>
  <c r="O115" i="163" s="1"/>
  <c r="E115" i="163"/>
  <c r="D99" i="163"/>
  <c r="F99" i="163"/>
  <c r="E99" i="163"/>
  <c r="F83" i="163"/>
  <c r="E83" i="163"/>
  <c r="D83" i="163"/>
  <c r="D67" i="163"/>
  <c r="F67" i="163"/>
  <c r="E67" i="163"/>
  <c r="F51" i="163"/>
  <c r="E51" i="163"/>
  <c r="D51" i="163"/>
  <c r="F35" i="163"/>
  <c r="E35" i="163"/>
  <c r="D35" i="163"/>
  <c r="F19" i="163"/>
  <c r="E19" i="163"/>
  <c r="D19" i="163"/>
  <c r="E78" i="163"/>
  <c r="D78" i="163"/>
  <c r="F78" i="163"/>
  <c r="E62" i="163"/>
  <c r="D62" i="163"/>
  <c r="F62" i="163"/>
  <c r="E46" i="163"/>
  <c r="D46" i="163"/>
  <c r="F46" i="163"/>
  <c r="F30" i="163"/>
  <c r="E30" i="163"/>
  <c r="D30" i="163"/>
  <c r="F14" i="163"/>
  <c r="E14" i="163"/>
  <c r="D14" i="163"/>
  <c r="D249" i="163"/>
  <c r="F249" i="163"/>
  <c r="E249" i="163"/>
  <c r="E291" i="163"/>
  <c r="D291" i="163"/>
  <c r="F291" i="163"/>
  <c r="F181" i="163"/>
  <c r="E181" i="163"/>
  <c r="D181" i="163"/>
  <c r="F302" i="163"/>
  <c r="E302" i="163"/>
  <c r="D302" i="163"/>
  <c r="F221" i="163"/>
  <c r="E221" i="163"/>
  <c r="D221" i="163"/>
  <c r="F41" i="163"/>
  <c r="D41" i="163"/>
  <c r="E41" i="163"/>
  <c r="F243" i="163"/>
  <c r="E243" i="163"/>
  <c r="D243" i="163"/>
  <c r="F117" i="163"/>
  <c r="E117" i="163"/>
  <c r="D117" i="163"/>
  <c r="D141" i="163"/>
  <c r="F141" i="163"/>
  <c r="E141" i="163"/>
  <c r="D297" i="163"/>
  <c r="F297" i="163"/>
  <c r="E297" i="163"/>
  <c r="D197" i="163"/>
  <c r="F197" i="163"/>
  <c r="E197" i="163"/>
  <c r="F57" i="163"/>
  <c r="D57" i="163"/>
  <c r="E57" i="163"/>
  <c r="D311" i="163"/>
  <c r="F311" i="163"/>
  <c r="E311" i="163"/>
  <c r="F290" i="163"/>
  <c r="E290" i="163"/>
  <c r="D290" i="163"/>
  <c r="F269" i="163"/>
  <c r="D269" i="163"/>
  <c r="E269" i="163"/>
  <c r="D247" i="163"/>
  <c r="F247" i="163"/>
  <c r="E247" i="163"/>
  <c r="D218" i="163"/>
  <c r="E218" i="163"/>
  <c r="F218" i="163"/>
  <c r="D186" i="163"/>
  <c r="F186" i="163"/>
  <c r="E186" i="163"/>
  <c r="D154" i="163"/>
  <c r="F154" i="163"/>
  <c r="E154" i="163"/>
  <c r="F122" i="163"/>
  <c r="E122" i="163"/>
  <c r="D122" i="163"/>
  <c r="E90" i="163"/>
  <c r="F90" i="163"/>
  <c r="D90" i="163"/>
  <c r="F37" i="163"/>
  <c r="D37" i="163"/>
  <c r="E37" i="163"/>
  <c r="F294" i="163"/>
  <c r="E294" i="163"/>
  <c r="D294" i="163"/>
  <c r="F273" i="163"/>
  <c r="D273" i="163"/>
  <c r="E273" i="163"/>
  <c r="F251" i="163"/>
  <c r="E251" i="163"/>
  <c r="D251" i="163"/>
  <c r="F225" i="163"/>
  <c r="E225" i="163"/>
  <c r="D225" i="163"/>
  <c r="F193" i="163"/>
  <c r="O193" i="163" s="1"/>
  <c r="E193" i="163"/>
  <c r="D193" i="163"/>
  <c r="F161" i="163"/>
  <c r="D161" i="163"/>
  <c r="E161" i="163"/>
  <c r="D129" i="163"/>
  <c r="F129" i="163"/>
  <c r="E129" i="163"/>
  <c r="F97" i="163"/>
  <c r="D97" i="163"/>
  <c r="E97" i="163"/>
  <c r="F49" i="163"/>
  <c r="O49" i="163" s="1"/>
  <c r="D49" i="163"/>
  <c r="E49" i="163"/>
  <c r="E314" i="163"/>
  <c r="D314" i="163"/>
  <c r="F314" i="163"/>
  <c r="D293" i="163"/>
  <c r="F293" i="163"/>
  <c r="O293" i="163" s="1"/>
  <c r="E293" i="163"/>
  <c r="E271" i="163"/>
  <c r="D271" i="163"/>
  <c r="F271" i="163"/>
  <c r="O271" i="163" s="1"/>
  <c r="F250" i="163"/>
  <c r="E250" i="163"/>
  <c r="D250" i="163"/>
  <c r="D222" i="163"/>
  <c r="E222" i="163"/>
  <c r="F222" i="163"/>
  <c r="F190" i="163"/>
  <c r="E190" i="163"/>
  <c r="D190" i="163"/>
  <c r="F158" i="163"/>
  <c r="E158" i="163"/>
  <c r="D158" i="163"/>
  <c r="F126" i="163"/>
  <c r="O126" i="163" s="1"/>
  <c r="E126" i="163"/>
  <c r="D126" i="163"/>
  <c r="E94" i="163"/>
  <c r="F94" i="163"/>
  <c r="D94" i="163"/>
  <c r="E45" i="163"/>
  <c r="F45" i="163"/>
  <c r="D45" i="163"/>
  <c r="F308" i="163"/>
  <c r="D308" i="163"/>
  <c r="E308" i="163"/>
  <c r="F292" i="163"/>
  <c r="D292" i="163"/>
  <c r="E292" i="163"/>
  <c r="E276" i="163"/>
  <c r="F276" i="163"/>
  <c r="D276" i="163"/>
  <c r="F260" i="163"/>
  <c r="O260" i="163" s="1"/>
  <c r="E260" i="163"/>
  <c r="D260" i="163"/>
  <c r="F244" i="163"/>
  <c r="D244" i="163"/>
  <c r="E244" i="163"/>
  <c r="F228" i="163"/>
  <c r="D228" i="163"/>
  <c r="E228" i="163"/>
  <c r="F212" i="163"/>
  <c r="E212" i="163"/>
  <c r="D212" i="163"/>
  <c r="D196" i="163"/>
  <c r="F196" i="163"/>
  <c r="E196" i="163"/>
  <c r="E180" i="163"/>
  <c r="D180" i="163"/>
  <c r="F180" i="163"/>
  <c r="D164" i="163"/>
  <c r="F164" i="163"/>
  <c r="E164" i="163"/>
  <c r="F148" i="163"/>
  <c r="E132" i="163"/>
  <c r="F132" i="163"/>
  <c r="D132" i="163"/>
  <c r="F116" i="163"/>
  <c r="E116" i="163"/>
  <c r="D116" i="163"/>
  <c r="E100" i="163"/>
  <c r="F100" i="163"/>
  <c r="D100" i="163"/>
  <c r="E84" i="163"/>
  <c r="F84" i="163"/>
  <c r="D84" i="163"/>
  <c r="F68" i="163"/>
  <c r="D68" i="163"/>
  <c r="E68" i="163"/>
  <c r="F52" i="163"/>
  <c r="E52" i="163"/>
  <c r="D52" i="163"/>
  <c r="F36" i="163"/>
  <c r="D36" i="163"/>
  <c r="E36" i="163"/>
  <c r="E20" i="163"/>
  <c r="D20" i="163"/>
  <c r="F20" i="163"/>
  <c r="D239" i="163"/>
  <c r="F239" i="163"/>
  <c r="E239" i="163"/>
  <c r="D223" i="163"/>
  <c r="F223" i="163"/>
  <c r="E223" i="163"/>
  <c r="D207" i="163"/>
  <c r="E207" i="163"/>
  <c r="F207" i="163"/>
  <c r="F191" i="163"/>
  <c r="E191" i="163"/>
  <c r="D191" i="163"/>
  <c r="F175" i="163"/>
  <c r="E175" i="163"/>
  <c r="D175" i="163"/>
  <c r="F159" i="163"/>
  <c r="E159" i="163"/>
  <c r="D159" i="163"/>
  <c r="F143" i="163"/>
  <c r="E143" i="163"/>
  <c r="D143" i="163"/>
  <c r="D127" i="163"/>
  <c r="F127" i="163"/>
  <c r="E127" i="163"/>
  <c r="F111" i="163"/>
  <c r="E111" i="163"/>
  <c r="D111" i="163"/>
  <c r="D95" i="163"/>
  <c r="F95" i="163"/>
  <c r="E95" i="163"/>
  <c r="F79" i="163"/>
  <c r="E79" i="163"/>
  <c r="D79" i="163"/>
  <c r="E63" i="163"/>
  <c r="D63" i="163"/>
  <c r="F63" i="163"/>
  <c r="D47" i="163"/>
  <c r="F47" i="163"/>
  <c r="E47" i="163"/>
  <c r="F31" i="163"/>
  <c r="E31" i="163"/>
  <c r="D31" i="163"/>
  <c r="F15" i="163"/>
  <c r="E15" i="163"/>
  <c r="D15" i="163"/>
  <c r="E74" i="163"/>
  <c r="D74" i="163"/>
  <c r="F74" i="163"/>
  <c r="D58" i="163"/>
  <c r="E58" i="163"/>
  <c r="F58" i="163"/>
  <c r="F42" i="163"/>
  <c r="E42" i="163"/>
  <c r="D42" i="163"/>
  <c r="F26" i="163"/>
  <c r="E26" i="163"/>
  <c r="D26" i="163"/>
  <c r="F10" i="163"/>
  <c r="E10" i="163"/>
  <c r="D10" i="163"/>
  <c r="D93" i="163"/>
  <c r="F93" i="163"/>
  <c r="O93" i="163" s="1"/>
  <c r="E93" i="163"/>
  <c r="F270" i="163"/>
  <c r="E270" i="163"/>
  <c r="D270" i="163"/>
  <c r="D307" i="163"/>
  <c r="F307" i="163"/>
  <c r="E307" i="163"/>
  <c r="F213" i="163"/>
  <c r="E213" i="163"/>
  <c r="D213" i="163"/>
  <c r="D85" i="163"/>
  <c r="F85" i="163"/>
  <c r="E85" i="163"/>
  <c r="F237" i="163"/>
  <c r="O237" i="163" s="1"/>
  <c r="D237" i="163"/>
  <c r="E237" i="163"/>
  <c r="D109" i="163"/>
  <c r="F109" i="163"/>
  <c r="E109" i="163"/>
  <c r="F275" i="163"/>
  <c r="E275" i="163"/>
  <c r="D275" i="163"/>
  <c r="E165" i="163"/>
  <c r="F165" i="163"/>
  <c r="D165" i="163"/>
  <c r="D306" i="163"/>
  <c r="F306" i="163"/>
  <c r="E306" i="163"/>
  <c r="F285" i="163"/>
  <c r="D285" i="163"/>
  <c r="E285" i="163"/>
  <c r="E263" i="163"/>
  <c r="D263" i="163"/>
  <c r="F263" i="163"/>
  <c r="F242" i="163"/>
  <c r="E242" i="163"/>
  <c r="D242" i="163"/>
  <c r="D210" i="163"/>
  <c r="F210" i="163"/>
  <c r="E210" i="163"/>
  <c r="F178" i="163"/>
  <c r="D178" i="163"/>
  <c r="E178" i="163"/>
  <c r="F146" i="163"/>
  <c r="E146" i="163"/>
  <c r="D146" i="163"/>
  <c r="D114" i="163"/>
  <c r="E114" i="163"/>
  <c r="F114" i="163"/>
  <c r="E82" i="163"/>
  <c r="D82" i="163"/>
  <c r="F82" i="163"/>
  <c r="O82" i="163" s="1"/>
  <c r="F21" i="163"/>
  <c r="E21" i="163"/>
  <c r="D21" i="163"/>
  <c r="D310" i="163"/>
  <c r="E310" i="163"/>
  <c r="F310" i="163"/>
  <c r="F289" i="163"/>
  <c r="D289" i="163"/>
  <c r="E289" i="163"/>
  <c r="D267" i="163"/>
  <c r="F267" i="163"/>
  <c r="E267" i="163"/>
  <c r="D246" i="163"/>
  <c r="F246" i="163"/>
  <c r="E246" i="163"/>
  <c r="F217" i="163"/>
  <c r="E217" i="163"/>
  <c r="D217" i="163"/>
  <c r="F185" i="163"/>
  <c r="E185" i="163"/>
  <c r="D185" i="163"/>
  <c r="F153" i="163"/>
  <c r="E153" i="163"/>
  <c r="D153" i="163"/>
  <c r="F121" i="163"/>
  <c r="D121" i="163"/>
  <c r="E121" i="163"/>
  <c r="D89" i="163"/>
  <c r="F89" i="163"/>
  <c r="E89" i="163"/>
  <c r="F33" i="163"/>
  <c r="D33" i="163"/>
  <c r="E33" i="163"/>
  <c r="D309" i="163"/>
  <c r="F309" i="163"/>
  <c r="E309" i="163"/>
  <c r="E287" i="163"/>
  <c r="D287" i="163"/>
  <c r="F287" i="163"/>
  <c r="D266" i="163"/>
  <c r="F266" i="163"/>
  <c r="E266" i="163"/>
  <c r="F245" i="163"/>
  <c r="D245" i="163"/>
  <c r="E245" i="163"/>
  <c r="D214" i="163"/>
  <c r="F214" i="163"/>
  <c r="E214" i="163"/>
  <c r="D182" i="163"/>
  <c r="F182" i="163"/>
  <c r="O182" i="163" s="1"/>
  <c r="E182" i="163"/>
  <c r="F150" i="163"/>
  <c r="D150" i="163"/>
  <c r="E150" i="163"/>
  <c r="F118" i="163"/>
  <c r="E118" i="163"/>
  <c r="D118" i="163"/>
  <c r="E86" i="163"/>
  <c r="F86" i="163"/>
  <c r="D86" i="163"/>
  <c r="F29" i="163"/>
  <c r="D29" i="163"/>
  <c r="E29" i="163"/>
  <c r="F304" i="163"/>
  <c r="O304" i="163" s="1"/>
  <c r="D304" i="163"/>
  <c r="E304" i="163"/>
  <c r="E288" i="163"/>
  <c r="F288" i="163"/>
  <c r="D288" i="163"/>
  <c r="D272" i="163"/>
  <c r="E272" i="163"/>
  <c r="F272" i="163"/>
  <c r="D256" i="163"/>
  <c r="E256" i="163"/>
  <c r="F256" i="163"/>
  <c r="F240" i="163"/>
  <c r="D240" i="163"/>
  <c r="E240" i="163"/>
  <c r="D224" i="163"/>
  <c r="F224" i="163"/>
  <c r="E224" i="163"/>
  <c r="D208" i="163"/>
  <c r="F208" i="163"/>
  <c r="E208" i="163"/>
  <c r="F192" i="163"/>
  <c r="E192" i="163"/>
  <c r="D192" i="163"/>
  <c r="E176" i="163"/>
  <c r="D176" i="163"/>
  <c r="F176" i="163"/>
  <c r="F160" i="163"/>
  <c r="O160" i="163" s="1"/>
  <c r="E160" i="163"/>
  <c r="D160" i="163"/>
  <c r="E144" i="163"/>
  <c r="F144" i="163"/>
  <c r="D144" i="163"/>
  <c r="F128" i="163"/>
  <c r="D128" i="163"/>
  <c r="E128" i="163"/>
  <c r="D112" i="163"/>
  <c r="F112" i="163"/>
  <c r="E112" i="163"/>
  <c r="F96" i="163"/>
  <c r="D96" i="163"/>
  <c r="E96" i="163"/>
  <c r="F80" i="163"/>
  <c r="D80" i="163"/>
  <c r="E80" i="163"/>
  <c r="F64" i="163"/>
  <c r="E64" i="163"/>
  <c r="D64" i="163"/>
  <c r="D48" i="163"/>
  <c r="E48" i="163"/>
  <c r="F48" i="163"/>
  <c r="F32" i="163"/>
  <c r="D32" i="163"/>
  <c r="E32" i="163"/>
  <c r="B16" i="163"/>
  <c r="D235" i="163"/>
  <c r="F235" i="163"/>
  <c r="E235" i="163"/>
  <c r="F219" i="163"/>
  <c r="E219" i="163"/>
  <c r="D219" i="163"/>
  <c r="D203" i="163"/>
  <c r="E203" i="163"/>
  <c r="F203" i="163"/>
  <c r="E187" i="163"/>
  <c r="D187" i="163"/>
  <c r="F187" i="163"/>
  <c r="E171" i="163"/>
  <c r="F171" i="163"/>
  <c r="O171" i="163" s="1"/>
  <c r="D171" i="163"/>
  <c r="F155" i="163"/>
  <c r="E155" i="163"/>
  <c r="D155" i="163"/>
  <c r="D139" i="163"/>
  <c r="F139" i="163"/>
  <c r="E139" i="163"/>
  <c r="E123" i="163"/>
  <c r="D123" i="163"/>
  <c r="F123" i="163"/>
  <c r="F107" i="163"/>
  <c r="E107" i="163"/>
  <c r="D107" i="163"/>
  <c r="F91" i="163"/>
  <c r="E91" i="163"/>
  <c r="D91" i="163"/>
  <c r="F75" i="163"/>
  <c r="E75" i="163"/>
  <c r="D75" i="163"/>
  <c r="F59" i="163"/>
  <c r="E59" i="163"/>
  <c r="D59" i="163"/>
  <c r="F43" i="163"/>
  <c r="E43" i="163"/>
  <c r="D43" i="163"/>
  <c r="B27" i="163" a="1"/>
  <c r="B27" i="163" s="1"/>
  <c r="F11" i="163"/>
  <c r="E11" i="163"/>
  <c r="D11" i="163"/>
  <c r="E70" i="163"/>
  <c r="D70" i="163"/>
  <c r="F70" i="163"/>
  <c r="F54" i="163"/>
  <c r="E54" i="163"/>
  <c r="D54" i="163"/>
  <c r="F38" i="163"/>
  <c r="O38" i="163" s="1"/>
  <c r="E38" i="163"/>
  <c r="D38" i="163"/>
  <c r="F22" i="163"/>
  <c r="D22" i="163"/>
  <c r="E22" i="163"/>
  <c r="B6" i="163"/>
  <c r="B24" i="165" s="1" a="1"/>
  <c r="B24" i="165" s="1"/>
  <c r="D54" i="1"/>
  <c r="C20" i="1"/>
  <c r="L18" i="1"/>
  <c r="C18" i="1" s="1"/>
  <c r="C46" i="1"/>
  <c r="L51" i="1"/>
  <c r="D50" i="1"/>
  <c r="D57" i="1"/>
  <c r="B41" i="1"/>
  <c r="H16" i="163" l="1"/>
  <c r="F8" i="69" s="1" a="1"/>
  <c r="F8" i="69" s="1"/>
  <c r="H82" i="163"/>
  <c r="F14" i="69" s="1" a="1"/>
  <c r="F14" i="69" s="1"/>
  <c r="H5" i="163"/>
  <c r="F5" i="163" s="1"/>
  <c r="H115" i="163"/>
  <c r="F17" i="69" s="1" a="1"/>
  <c r="F17" i="69" s="1"/>
  <c r="H38" i="163"/>
  <c r="F10" i="69" s="1" a="1"/>
  <c r="F10" i="69" s="1"/>
  <c r="H71" i="163"/>
  <c r="F13" i="69" s="1" a="1"/>
  <c r="F13" i="69" s="1"/>
  <c r="H93" i="163"/>
  <c r="F15" i="69" s="1" a="1"/>
  <c r="F15" i="69" s="1"/>
  <c r="H49" i="163"/>
  <c r="F11" i="69" s="1" a="1"/>
  <c r="F11" i="69" s="1"/>
  <c r="H104" i="163"/>
  <c r="F16" i="69" s="1" a="1"/>
  <c r="F16" i="69" s="1"/>
  <c r="H137" i="163"/>
  <c r="H27" i="163"/>
  <c r="I27" i="163" s="1" a="1"/>
  <c r="I27" i="163" s="1"/>
  <c r="H60" i="163"/>
  <c r="F12" i="69" s="1" a="1"/>
  <c r="F12" i="69" s="1"/>
  <c r="H126" i="163"/>
  <c r="F18" i="69" s="1" a="1"/>
  <c r="F18" i="69" s="1"/>
  <c r="H237" i="163"/>
  <c r="L15" i="69" s="1" a="1"/>
  <c r="L15" i="69" s="1"/>
  <c r="H171" i="163"/>
  <c r="L9" i="69" s="1" a="1"/>
  <c r="L9" i="69" s="1"/>
  <c r="H282" i="163"/>
  <c r="R9" i="69" s="1" a="1"/>
  <c r="R9" i="69" s="1"/>
  <c r="H271" i="163"/>
  <c r="R8" i="69" s="1" a="1"/>
  <c r="R8" i="69" s="1"/>
  <c r="H248" i="163"/>
  <c r="L16" i="69" s="1" a="1"/>
  <c r="L16" i="69" s="1"/>
  <c r="H215" i="163"/>
  <c r="L13" i="69" s="1" a="1"/>
  <c r="L13" i="69" s="1"/>
  <c r="H182" i="163"/>
  <c r="L10" i="69" s="1" a="1"/>
  <c r="L10" i="69" s="1"/>
  <c r="H293" i="163"/>
  <c r="R10" i="69" s="1" a="1"/>
  <c r="R10" i="69" s="1"/>
  <c r="H149" i="163"/>
  <c r="L7" i="69" s="1" a="1"/>
  <c r="L7" i="69" s="1"/>
  <c r="H193" i="163"/>
  <c r="L11" i="69" s="1" a="1"/>
  <c r="L11" i="69" s="1"/>
  <c r="H260" i="163"/>
  <c r="R7" i="69" s="1" a="1"/>
  <c r="R7" i="69" s="1"/>
  <c r="H226" i="163"/>
  <c r="L14" i="69" s="1" a="1"/>
  <c r="L14" i="69" s="1"/>
  <c r="H304" i="163"/>
  <c r="R11" i="69" s="1" a="1"/>
  <c r="R11" i="69" s="1"/>
  <c r="H204" i="163"/>
  <c r="L12" i="69" s="1" a="1"/>
  <c r="L12" i="69" s="1"/>
  <c r="H160" i="163"/>
  <c r="L8" i="69" s="1" a="1"/>
  <c r="L8" i="69" s="1"/>
  <c r="B49" i="165" a="1"/>
  <c r="B49" i="165" s="1"/>
  <c r="H49" i="165" s="1" a="1"/>
  <c r="H49" i="165" s="1"/>
  <c r="D49" i="165" s="1"/>
  <c r="H55" i="165" a="1"/>
  <c r="H55" i="165" s="1"/>
  <c r="H59" i="165" a="1"/>
  <c r="H59" i="165" s="1"/>
  <c r="H54" i="165" a="1"/>
  <c r="H54" i="165" s="1"/>
  <c r="H52" i="165" a="1"/>
  <c r="H52" i="165" s="1"/>
  <c r="H53" i="165" a="1"/>
  <c r="H53" i="165" s="1"/>
  <c r="H60" i="165" a="1"/>
  <c r="H60" i="165" s="1"/>
  <c r="H56" i="165" a="1"/>
  <c r="H56" i="165" s="1"/>
  <c r="H57" i="165" a="1"/>
  <c r="H57" i="165" s="1"/>
  <c r="H58" i="165" a="1"/>
  <c r="H58" i="165" s="1"/>
  <c r="B37" i="165" a="1"/>
  <c r="B37" i="165" s="1"/>
  <c r="H37" i="165" s="1" a="1"/>
  <c r="H37" i="165" s="1"/>
  <c r="D37" i="165" s="1"/>
  <c r="H44" i="165" a="1"/>
  <c r="H44" i="165" s="1"/>
  <c r="H43" i="165" a="1"/>
  <c r="H43" i="165" s="1"/>
  <c r="H41" i="165" a="1"/>
  <c r="H41" i="165" s="1"/>
  <c r="H46" i="165" a="1"/>
  <c r="H46" i="165" s="1"/>
  <c r="H47" i="165" a="1"/>
  <c r="H47" i="165" s="1"/>
  <c r="H48" i="165" a="1"/>
  <c r="H48" i="165" s="1"/>
  <c r="H40" i="165" a="1"/>
  <c r="H40" i="165" s="1"/>
  <c r="H45" i="165" a="1"/>
  <c r="H45" i="165" s="1"/>
  <c r="H39" i="165" a="1"/>
  <c r="H39" i="165" s="1"/>
  <c r="H42" i="165" a="1"/>
  <c r="H42" i="165" s="1"/>
  <c r="H51" i="165" a="1"/>
  <c r="H51" i="165" s="1"/>
  <c r="H27" i="165" a="1"/>
  <c r="H27" i="165" s="1"/>
  <c r="H24" i="165" a="1"/>
  <c r="H24" i="165" s="1"/>
  <c r="H25" i="165" a="1"/>
  <c r="H25" i="165" s="1"/>
  <c r="B21" i="165" a="1"/>
  <c r="B21" i="165" s="1"/>
  <c r="H21" i="165" s="1" a="1"/>
  <c r="H21" i="165" s="1"/>
  <c r="H26" i="165" a="1"/>
  <c r="H26" i="165" s="1"/>
  <c r="H29" i="165" a="1"/>
  <c r="H29" i="165" s="1"/>
  <c r="H22" i="165" a="1"/>
  <c r="H22" i="165" s="1"/>
  <c r="H28" i="165" a="1"/>
  <c r="H28" i="165" s="1"/>
  <c r="H32" i="165" a="1"/>
  <c r="H32" i="165" s="1"/>
  <c r="H31" i="165" a="1"/>
  <c r="H31" i="165" s="1"/>
  <c r="H34" i="165" a="1"/>
  <c r="H34" i="165" s="1"/>
  <c r="H35" i="165" a="1"/>
  <c r="H35" i="165" s="1"/>
  <c r="H30" i="165" a="1"/>
  <c r="H30" i="165" s="1"/>
  <c r="H36" i="165" a="1"/>
  <c r="H36" i="165" s="1"/>
  <c r="H33" i="165" a="1"/>
  <c r="H33" i="165" s="1"/>
  <c r="B11" i="70"/>
  <c r="B7" i="70"/>
  <c r="B12" i="70"/>
  <c r="B14" i="70"/>
  <c r="B10" i="70"/>
  <c r="B6" i="70"/>
  <c r="B8" i="70"/>
  <c r="B13" i="70"/>
  <c r="B9" i="70"/>
  <c r="B5" i="70"/>
  <c r="C28" i="163"/>
  <c r="F4" i="163"/>
  <c r="G259" i="163"/>
  <c r="G4" i="163"/>
  <c r="G148" i="163"/>
  <c r="F19" i="69" a="1"/>
  <c r="F19" i="69" s="1"/>
  <c r="D8" i="163"/>
  <c r="C8" i="163"/>
  <c r="F7" i="163"/>
  <c r="C7" i="163"/>
  <c r="F6" i="163"/>
  <c r="C6" i="163"/>
  <c r="HN3" i="32"/>
  <c r="HN7" i="32"/>
  <c r="HN4" i="32"/>
  <c r="HN2" i="32"/>
  <c r="HN5" i="32"/>
  <c r="HN6" i="32"/>
  <c r="D5" i="163"/>
  <c r="F28" i="163"/>
  <c r="E5" i="163"/>
  <c r="D28" i="163"/>
  <c r="E4" i="163"/>
  <c r="D7" i="163"/>
  <c r="D6" i="163"/>
  <c r="E16" i="163"/>
  <c r="E6" i="163"/>
  <c r="D148" i="163"/>
  <c r="F8" i="163"/>
  <c r="E7" i="163"/>
  <c r="D27" i="163"/>
  <c r="E27" i="163"/>
  <c r="F259" i="163"/>
  <c r="D259" i="163"/>
  <c r="E259" i="163"/>
  <c r="E8" i="163"/>
  <c r="E148" i="163"/>
  <c r="D4" i="163"/>
  <c r="D16" i="163"/>
  <c r="E28" i="163"/>
  <c r="L40" i="1"/>
  <c r="B40" i="1"/>
  <c r="D29" i="1"/>
  <c r="D14" i="1"/>
  <c r="D37" i="1"/>
  <c r="D27" i="1"/>
  <c r="C2" i="162"/>
  <c r="D18" i="1"/>
  <c r="I105" i="1"/>
  <c r="B105" i="1" s="1"/>
  <c r="I104" i="1"/>
  <c r="B104" i="1" s="1"/>
  <c r="I103" i="1"/>
  <c r="B103" i="1" s="1"/>
  <c r="I102" i="1"/>
  <c r="B102" i="1" s="1"/>
  <c r="I101" i="1"/>
  <c r="B101" i="1" s="1"/>
  <c r="I40" i="2"/>
  <c r="F27" i="163" l="1"/>
  <c r="F7" i="69" a="1"/>
  <c r="F7" i="69" s="1"/>
  <c r="H4" i="163"/>
  <c r="E2" i="162" s="1" a="1"/>
  <c r="E2" i="162" s="1"/>
  <c r="I4" i="163" s="1" a="1"/>
  <c r="I4" i="163" s="1"/>
  <c r="F2" i="162" s="1" a="1"/>
  <c r="F2" i="162" s="1"/>
  <c r="D21" i="165"/>
  <c r="J1" i="165" s="1"/>
  <c r="I5" i="163" a="1"/>
  <c r="I5" i="163" s="1"/>
  <c r="C5" i="163" s="1"/>
  <c r="I16" i="163" a="1"/>
  <c r="I16" i="163" s="1"/>
  <c r="G8" i="69" s="1" a="1"/>
  <c r="G8" i="69" s="1"/>
  <c r="C16" i="163"/>
  <c r="H2" i="162" a="1"/>
  <c r="H2" i="162" s="1"/>
  <c r="J2" i="162" a="1"/>
  <c r="J2" i="162" s="1"/>
  <c r="C49" i="163"/>
  <c r="I49" i="163" a="1"/>
  <c r="I49" i="163" s="1"/>
  <c r="C82" i="163"/>
  <c r="I82" i="163" a="1"/>
  <c r="I82" i="163" s="1"/>
  <c r="C271" i="163"/>
  <c r="I271" i="163" a="1"/>
  <c r="I271" i="163" s="1"/>
  <c r="S8" i="69" s="1" a="1"/>
  <c r="S8" i="69" s="1"/>
  <c r="C182" i="163"/>
  <c r="I182" i="163" a="1"/>
  <c r="I182" i="163" s="1"/>
  <c r="C149" i="163"/>
  <c r="I149" i="163" a="1"/>
  <c r="I149" i="163" s="1"/>
  <c r="M7" i="69" s="1" a="1"/>
  <c r="M7" i="69" s="1"/>
  <c r="C237" i="163"/>
  <c r="I237" i="163" a="1"/>
  <c r="I237" i="163" s="1"/>
  <c r="M15" i="69" s="1" a="1"/>
  <c r="M15" i="69" s="1"/>
  <c r="C171" i="163"/>
  <c r="I171" i="163" a="1"/>
  <c r="I171" i="163" s="1"/>
  <c r="M9" i="69" s="1" a="1"/>
  <c r="M9" i="69" s="1"/>
  <c r="D2" i="162" a="1"/>
  <c r="D2" i="162" s="1"/>
  <c r="C260" i="163"/>
  <c r="I260" i="163" a="1"/>
  <c r="I260" i="163" s="1"/>
  <c r="S7" i="69" s="1" a="1"/>
  <c r="S7" i="69" s="1"/>
  <c r="I2" i="162" a="1"/>
  <c r="I2" i="162" s="1"/>
  <c r="C126" i="163"/>
  <c r="I126" i="163" a="1"/>
  <c r="I126" i="163" s="1"/>
  <c r="G18" i="69" s="1" a="1"/>
  <c r="G18" i="69" s="1"/>
  <c r="C27" i="163"/>
  <c r="C248" i="163"/>
  <c r="I248" i="163" a="1"/>
  <c r="I248" i="163" s="1"/>
  <c r="M16" i="69" s="1" a="1"/>
  <c r="M16" i="69" s="1"/>
  <c r="C115" i="163"/>
  <c r="I115" i="163" a="1"/>
  <c r="I115" i="163" s="1"/>
  <c r="G17" i="69" s="1" a="1"/>
  <c r="G17" i="69" s="1"/>
  <c r="I17" i="69" s="1"/>
  <c r="C93" i="163"/>
  <c r="I93" i="163" a="1"/>
  <c r="I93" i="163" s="1"/>
  <c r="G15" i="69" s="1" a="1"/>
  <c r="G15" i="69" s="1"/>
  <c r="C282" i="163"/>
  <c r="I282" i="163" a="1"/>
  <c r="I282" i="163" s="1"/>
  <c r="S9" i="69" s="1" a="1"/>
  <c r="S9" i="69" s="1"/>
  <c r="C104" i="163"/>
  <c r="I104" i="163" a="1"/>
  <c r="I104" i="163" s="1"/>
  <c r="G16" i="69" s="1" a="1"/>
  <c r="G16" i="69" s="1"/>
  <c r="C160" i="163"/>
  <c r="I160" i="163" a="1"/>
  <c r="I160" i="163" s="1"/>
  <c r="C71" i="163"/>
  <c r="I71" i="163" a="1"/>
  <c r="I71" i="163" s="1"/>
  <c r="G13" i="69" s="1" a="1"/>
  <c r="G13" i="69" s="1"/>
  <c r="C60" i="163"/>
  <c r="I60" i="163" a="1"/>
  <c r="I60" i="163" s="1"/>
  <c r="C193" i="163"/>
  <c r="I193" i="163" a="1"/>
  <c r="I193" i="163" s="1"/>
  <c r="M11" i="69" s="1" a="1"/>
  <c r="M11" i="69" s="1"/>
  <c r="O5" i="163"/>
  <c r="C226" i="163"/>
  <c r="I226" i="163" a="1"/>
  <c r="I226" i="163" s="1"/>
  <c r="C204" i="163"/>
  <c r="I204" i="163" a="1"/>
  <c r="I204" i="163" s="1"/>
  <c r="M12" i="69" s="1" a="1"/>
  <c r="M12" i="69" s="1"/>
  <c r="C137" i="163"/>
  <c r="I137" i="163" a="1"/>
  <c r="I137" i="163" s="1"/>
  <c r="C293" i="163"/>
  <c r="I293" i="163" a="1"/>
  <c r="I293" i="163" s="1"/>
  <c r="S10" i="69" s="1" a="1"/>
  <c r="S10" i="69" s="1"/>
  <c r="G2" i="162" a="1"/>
  <c r="G2" i="162" s="1"/>
  <c r="C215" i="163"/>
  <c r="I215" i="163" a="1"/>
  <c r="I215" i="163" s="1"/>
  <c r="M13" i="69" s="1" a="1"/>
  <c r="M13" i="69" s="1"/>
  <c r="C38" i="163"/>
  <c r="I38" i="163" a="1"/>
  <c r="I38" i="163" s="1"/>
  <c r="G10" i="69" s="1" a="1"/>
  <c r="G10" i="69" s="1"/>
  <c r="C304" i="163"/>
  <c r="I304" i="163" a="1"/>
  <c r="I304" i="163" s="1"/>
  <c r="S11" i="69" s="1" a="1"/>
  <c r="S11" i="69" s="1"/>
  <c r="I35" i="2"/>
  <c r="E7" i="168" a="1"/>
  <c r="E7" i="168" s="1"/>
  <c r="I7" i="168" s="1"/>
  <c r="I7" i="2"/>
  <c r="I16" i="2"/>
  <c r="O27" i="163"/>
  <c r="F16" i="163"/>
  <c r="O16" i="163" s="1"/>
  <c r="I128" i="1"/>
  <c r="B128" i="1" s="1"/>
  <c r="I134" i="1"/>
  <c r="B134" i="1" s="1"/>
  <c r="I130" i="1"/>
  <c r="K130" i="1" s="1"/>
  <c r="I124" i="1"/>
  <c r="B124" i="1" s="1"/>
  <c r="I120" i="1"/>
  <c r="B120" i="1" s="1"/>
  <c r="I136" i="1"/>
  <c r="K136" i="1" s="1"/>
  <c r="I122" i="1"/>
  <c r="B122" i="1" s="1"/>
  <c r="I135" i="1"/>
  <c r="K135" i="1" s="1"/>
  <c r="I131" i="1"/>
  <c r="B131" i="1" s="1"/>
  <c r="I125" i="1"/>
  <c r="B125" i="1" s="1"/>
  <c r="I127" i="1"/>
  <c r="B127" i="1" s="1"/>
  <c r="I133" i="1"/>
  <c r="B133" i="1" s="1"/>
  <c r="I129" i="1"/>
  <c r="K129" i="1" s="1"/>
  <c r="I123" i="1"/>
  <c r="B123" i="1" s="1"/>
  <c r="I132" i="1"/>
  <c r="B132" i="1" s="1"/>
  <c r="I126" i="1"/>
  <c r="B126" i="1" s="1"/>
  <c r="I121" i="1"/>
  <c r="B121" i="1" s="1"/>
  <c r="C6" i="45"/>
  <c r="C5" i="45"/>
  <c r="C3" i="45"/>
  <c r="C7" i="45"/>
  <c r="C4" i="45"/>
  <c r="C2" i="45"/>
  <c r="C5" i="162"/>
  <c r="E59" i="1"/>
  <c r="C6" i="162"/>
  <c r="C7" i="162"/>
  <c r="C4" i="162"/>
  <c r="C3" i="162"/>
  <c r="I38" i="2"/>
  <c r="I39" i="2"/>
  <c r="B50" i="165" l="1" a="1"/>
  <c r="B50" i="165" s="1"/>
  <c r="H50" i="165" s="1" a="1"/>
  <c r="H50" i="165" s="1"/>
  <c r="B23" i="165" a="1"/>
  <c r="B23" i="165" s="1"/>
  <c r="H23" i="165" s="1" a="1"/>
  <c r="H23" i="165" s="1"/>
  <c r="B38" i="165" a="1"/>
  <c r="B38" i="165" s="1"/>
  <c r="H38" i="165" s="1" a="1"/>
  <c r="H38" i="165" s="1"/>
  <c r="G19" i="69" a="1"/>
  <c r="G19" i="69" s="1"/>
  <c r="I19" i="69" s="1"/>
  <c r="M14" i="69" a="1"/>
  <c r="M14" i="69" s="1"/>
  <c r="O14" i="69" s="1" a="1"/>
  <c r="O14" i="69" s="1"/>
  <c r="G11" i="69" a="1"/>
  <c r="G11" i="69" s="1"/>
  <c r="I11" i="69" s="1"/>
  <c r="G7" i="69" a="1"/>
  <c r="G7" i="69" s="1"/>
  <c r="I7" i="69" s="1"/>
  <c r="G12" i="69" a="1"/>
  <c r="G12" i="69" s="1"/>
  <c r="I12" i="69" s="1"/>
  <c r="M8" i="69" a="1"/>
  <c r="M8" i="69" s="1"/>
  <c r="O8" i="69" s="1" a="1"/>
  <c r="O8" i="69" s="1"/>
  <c r="M10" i="69" a="1"/>
  <c r="M10" i="69" s="1"/>
  <c r="O10" i="69" s="1" a="1"/>
  <c r="O10" i="69" s="1"/>
  <c r="G14" i="69" a="1"/>
  <c r="G14" i="69" s="1"/>
  <c r="I14" i="69" s="1"/>
  <c r="I8" i="69"/>
  <c r="I10" i="69"/>
  <c r="I13" i="69"/>
  <c r="I16" i="69"/>
  <c r="I15" i="69"/>
  <c r="I18" i="69"/>
  <c r="G7" i="162" a="1"/>
  <c r="G7" i="162" s="1"/>
  <c r="J7" i="162" a="1"/>
  <c r="J7" i="162" s="1"/>
  <c r="I7" i="162" a="1"/>
  <c r="I7" i="162" s="1"/>
  <c r="E7" i="162" a="1"/>
  <c r="E7" i="162" s="1"/>
  <c r="F7" i="162" s="1" a="1"/>
  <c r="F7" i="162" s="1"/>
  <c r="H7" i="162" a="1"/>
  <c r="H7" i="162" s="1"/>
  <c r="D7" i="162" a="1"/>
  <c r="D7" i="162" s="1"/>
  <c r="J6" i="162" a="1"/>
  <c r="J6" i="162" s="1"/>
  <c r="I6" i="162" a="1"/>
  <c r="I6" i="162" s="1"/>
  <c r="E6" i="162" a="1"/>
  <c r="E6" i="162" s="1"/>
  <c r="F6" i="162" s="1" a="1"/>
  <c r="F6" i="162" s="1"/>
  <c r="H6" i="162" a="1"/>
  <c r="H6" i="162" s="1"/>
  <c r="D6" i="162" a="1"/>
  <c r="D6" i="162" s="1"/>
  <c r="G6" i="162" a="1"/>
  <c r="G6" i="162" s="1"/>
  <c r="G3" i="162" a="1"/>
  <c r="G3" i="162" s="1"/>
  <c r="J3" i="162" a="1"/>
  <c r="J3" i="162" s="1"/>
  <c r="I3" i="162" a="1"/>
  <c r="I3" i="162" s="1"/>
  <c r="E3" i="162" a="1"/>
  <c r="E3" i="162" s="1"/>
  <c r="F3" i="162" s="1" a="1"/>
  <c r="F3" i="162" s="1"/>
  <c r="H3" i="162" a="1"/>
  <c r="H3" i="162" s="1"/>
  <c r="D3" i="162" a="1"/>
  <c r="D3" i="162" s="1"/>
  <c r="H4" i="162" a="1"/>
  <c r="H4" i="162" s="1"/>
  <c r="D4" i="162" a="1"/>
  <c r="D4" i="162" s="1"/>
  <c r="G4" i="162" a="1"/>
  <c r="G4" i="162" s="1"/>
  <c r="J4" i="162" a="1"/>
  <c r="J4" i="162" s="1"/>
  <c r="I4" i="162" a="1"/>
  <c r="I4" i="162" s="1"/>
  <c r="E4" i="162" a="1"/>
  <c r="E4" i="162" s="1"/>
  <c r="F4" i="162" s="1" a="1"/>
  <c r="F4" i="162" s="1"/>
  <c r="I5" i="162" a="1"/>
  <c r="I5" i="162" s="1"/>
  <c r="E5" i="162" a="1"/>
  <c r="E5" i="162" s="1"/>
  <c r="F5" i="162" s="1" a="1"/>
  <c r="F5" i="162" s="1"/>
  <c r="H5" i="162" a="1"/>
  <c r="H5" i="162" s="1"/>
  <c r="D5" i="162" a="1"/>
  <c r="D5" i="162" s="1"/>
  <c r="G5" i="162" a="1"/>
  <c r="G5" i="162" s="1"/>
  <c r="J5" i="162" a="1"/>
  <c r="J5" i="162" s="1"/>
  <c r="U11" i="69" a="1"/>
  <c r="U11" i="69" s="1"/>
  <c r="O11" i="69" a="1"/>
  <c r="O11" i="69" s="1"/>
  <c r="O12" i="69" a="1"/>
  <c r="O12" i="69" s="1"/>
  <c r="O15" i="69" a="1"/>
  <c r="O15" i="69" s="1"/>
  <c r="O9" i="69" a="1"/>
  <c r="O9" i="69" s="1"/>
  <c r="U8" i="69" a="1"/>
  <c r="U8" i="69" s="1"/>
  <c r="O16" i="69" a="1"/>
  <c r="O16" i="69" s="1"/>
  <c r="U9" i="69" a="1"/>
  <c r="U9" i="69" s="1"/>
  <c r="U10" i="69" a="1"/>
  <c r="U10" i="69" s="1"/>
  <c r="O13" i="69" a="1"/>
  <c r="O13" i="69" s="1"/>
  <c r="S12" i="69"/>
  <c r="U7" i="69" a="1"/>
  <c r="U7" i="69" s="1"/>
  <c r="C16" i="139"/>
  <c r="O7" i="69" a="1"/>
  <c r="O7" i="69" s="1"/>
  <c r="E6" i="168" a="1"/>
  <c r="E6" i="168" s="1"/>
  <c r="I6" i="168" s="1"/>
  <c r="I34" i="2"/>
  <c r="I6" i="2"/>
  <c r="E8" i="168" a="1"/>
  <c r="E8" i="168" s="1"/>
  <c r="I8" i="168" s="1"/>
  <c r="I18" i="2"/>
  <c r="I15" i="2"/>
  <c r="B130" i="1"/>
  <c r="D130" i="1"/>
  <c r="Q2" i="45" a="1"/>
  <c r="Q2" i="45" s="1"/>
  <c r="M2" i="45" a="1"/>
  <c r="M2" i="45" s="1"/>
  <c r="I2" i="45" a="1"/>
  <c r="I2" i="45" s="1"/>
  <c r="D2" i="45" a="1"/>
  <c r="D2" i="45" s="1"/>
  <c r="R2" i="45" a="1"/>
  <c r="R2" i="45" s="1"/>
  <c r="F2" i="45" a="1"/>
  <c r="F2" i="45" s="1"/>
  <c r="P2" i="45" a="1"/>
  <c r="P2" i="45" s="1"/>
  <c r="L2" i="45" a="1"/>
  <c r="L2" i="45" s="1"/>
  <c r="H2" i="45" a="1"/>
  <c r="H2" i="45" s="1"/>
  <c r="E2" i="45" a="1"/>
  <c r="E2" i="45" s="1"/>
  <c r="J2" i="45" a="1"/>
  <c r="J2" i="45" s="1"/>
  <c r="S2" i="45" a="1"/>
  <c r="S2" i="45" s="1"/>
  <c r="O2" i="45" a="1"/>
  <c r="O2" i="45" s="1"/>
  <c r="K2" i="45" a="1"/>
  <c r="K2" i="45" s="1"/>
  <c r="G2" i="45" a="1"/>
  <c r="G2" i="45" s="1"/>
  <c r="N2" i="45" a="1"/>
  <c r="N2" i="45" s="1"/>
  <c r="K5" i="45" a="1"/>
  <c r="K5" i="45" s="1"/>
  <c r="BV2" i="32" s="1" a="1"/>
  <c r="BV2" i="32" s="1"/>
  <c r="G5" i="45" a="1"/>
  <c r="G5" i="45" s="1"/>
  <c r="BS2" i="32" s="1" a="1"/>
  <c r="BS2" i="32" s="1"/>
  <c r="H5" i="45" a="1"/>
  <c r="H5" i="45" s="1"/>
  <c r="AN5" i="32" s="1" a="1"/>
  <c r="AN5" i="32" s="1"/>
  <c r="J5" i="45" a="1"/>
  <c r="J5" i="45" s="1"/>
  <c r="BW2" i="32" s="1" a="1"/>
  <c r="BW2" i="32" s="1"/>
  <c r="F5" i="45" a="1"/>
  <c r="F5" i="45" s="1"/>
  <c r="BR2" i="32" s="1" a="1"/>
  <c r="BR2" i="32" s="1"/>
  <c r="D5" i="45" a="1"/>
  <c r="D5" i="45" s="1"/>
  <c r="I5" i="45" a="1"/>
  <c r="I5" i="45" s="1"/>
  <c r="AO5" i="32" s="1" a="1"/>
  <c r="AO5" i="32" s="1"/>
  <c r="E5" i="45" a="1"/>
  <c r="E5" i="45" s="1"/>
  <c r="AK5" i="32" s="1" a="1"/>
  <c r="AK5" i="32" s="1"/>
  <c r="O3" i="45" a="1"/>
  <c r="O3" i="45" s="1"/>
  <c r="AU3" i="32" s="1" a="1"/>
  <c r="AU3" i="32" s="1"/>
  <c r="K3" i="45" a="1"/>
  <c r="K3" i="45" s="1"/>
  <c r="G3" i="45" a="1"/>
  <c r="G3" i="45" s="1"/>
  <c r="E3" i="45" a="1"/>
  <c r="E3" i="45" s="1"/>
  <c r="P3" i="45" a="1"/>
  <c r="P3" i="45" s="1"/>
  <c r="AV3" i="32" s="1" a="1"/>
  <c r="AV3" i="32" s="1"/>
  <c r="R3" i="45" a="1"/>
  <c r="R3" i="45" s="1"/>
  <c r="AX3" i="32" s="1" a="1"/>
  <c r="AX3" i="32" s="1"/>
  <c r="N3" i="45" a="1"/>
  <c r="N3" i="45" s="1"/>
  <c r="J3" i="45" a="1"/>
  <c r="J3" i="45" s="1"/>
  <c r="AQ3" i="32" s="1" a="1"/>
  <c r="AQ3" i="32" s="1"/>
  <c r="F3" i="45" a="1"/>
  <c r="F3" i="45" s="1"/>
  <c r="H3" i="45" a="1"/>
  <c r="H3" i="45" s="1"/>
  <c r="Q3" i="45" a="1"/>
  <c r="Q3" i="45" s="1"/>
  <c r="AW3" i="32" s="1" a="1"/>
  <c r="AW3" i="32" s="1"/>
  <c r="M3" i="45" a="1"/>
  <c r="M3" i="45" s="1"/>
  <c r="I3" i="45" a="1"/>
  <c r="I3" i="45" s="1"/>
  <c r="D3" i="45" a="1"/>
  <c r="D3" i="45" s="1"/>
  <c r="I4" i="45" a="1"/>
  <c r="I4" i="45" s="1"/>
  <c r="BE2" i="32" s="1" a="1"/>
  <c r="BE2" i="32" s="1"/>
  <c r="H4" i="45" a="1"/>
  <c r="H4" i="45" s="1"/>
  <c r="AN4" i="32" s="1" a="1"/>
  <c r="AN4" i="32" s="1"/>
  <c r="J4" i="45" a="1"/>
  <c r="J4" i="45" s="1"/>
  <c r="BG2" i="32" s="1" a="1"/>
  <c r="BG2" i="32" s="1"/>
  <c r="K4" i="45" a="1"/>
  <c r="K4" i="45" s="1"/>
  <c r="BF2" i="32" s="1" a="1"/>
  <c r="BF2" i="32" s="1"/>
  <c r="G4" i="45" a="1"/>
  <c r="G4" i="45" s="1"/>
  <c r="BC2" i="32" s="1" a="1"/>
  <c r="BC2" i="32" s="1"/>
  <c r="F4" i="45" a="1"/>
  <c r="F4" i="45" s="1"/>
  <c r="BB2" i="32" s="1" a="1"/>
  <c r="BB2" i="32" s="1"/>
  <c r="E4" i="45" a="1"/>
  <c r="E4" i="45" s="1"/>
  <c r="AK4" i="32" s="1" a="1"/>
  <c r="AK4" i="32" s="1"/>
  <c r="D4" i="45" a="1"/>
  <c r="D4" i="45" s="1"/>
  <c r="I6" i="45" a="1"/>
  <c r="I6" i="45" s="1"/>
  <c r="AO6" i="32" s="1" a="1"/>
  <c r="AO6" i="32" s="1"/>
  <c r="F6" i="45" a="1"/>
  <c r="F6" i="45" s="1"/>
  <c r="AL6" i="32" s="1" a="1"/>
  <c r="AL6" i="32" s="1"/>
  <c r="H6" i="45" a="1"/>
  <c r="H6" i="45" s="1"/>
  <c r="AN6" i="32" s="1" a="1"/>
  <c r="AN6" i="32" s="1"/>
  <c r="E6" i="45" a="1"/>
  <c r="E6" i="45" s="1"/>
  <c r="CG2" i="32" s="1" a="1"/>
  <c r="CG2" i="32" s="1"/>
  <c r="K6" i="45" a="1"/>
  <c r="K6" i="45" s="1"/>
  <c r="CL2" i="32" s="1" a="1"/>
  <c r="CL2" i="32" s="1"/>
  <c r="G6" i="45" a="1"/>
  <c r="G6" i="45" s="1"/>
  <c r="CI2" i="32" s="1" a="1"/>
  <c r="CI2" i="32" s="1"/>
  <c r="D6" i="45" a="1"/>
  <c r="D6" i="45" s="1"/>
  <c r="J6" i="45" a="1"/>
  <c r="J6" i="45" s="1"/>
  <c r="CM2" i="32" s="1" a="1"/>
  <c r="CM2" i="32" s="1"/>
  <c r="K7" i="45" a="1"/>
  <c r="K7" i="45" s="1"/>
  <c r="DB2" i="32" s="1" a="1"/>
  <c r="DB2" i="32" s="1"/>
  <c r="G7" i="45" a="1"/>
  <c r="G7" i="45" s="1"/>
  <c r="CY2" i="32" s="1" a="1"/>
  <c r="CY2" i="32" s="1"/>
  <c r="E7" i="45" a="1"/>
  <c r="E7" i="45" s="1"/>
  <c r="CW2" i="32" s="1" a="1"/>
  <c r="CW2" i="32" s="1"/>
  <c r="J7" i="45" a="1"/>
  <c r="J7" i="45" s="1"/>
  <c r="DC2" i="32" s="1" a="1"/>
  <c r="DC2" i="32" s="1"/>
  <c r="F7" i="45" a="1"/>
  <c r="F7" i="45" s="1"/>
  <c r="AL7" i="32" s="1" a="1"/>
  <c r="AL7" i="32" s="1"/>
  <c r="D7" i="45" a="1"/>
  <c r="D7" i="45" s="1"/>
  <c r="I7" i="45" a="1"/>
  <c r="I7" i="45" s="1"/>
  <c r="AO7" i="32" s="1" a="1"/>
  <c r="AO7" i="32" s="1"/>
  <c r="H7" i="45" a="1"/>
  <c r="H7" i="45" s="1"/>
  <c r="AN7" i="32" s="1" a="1"/>
  <c r="AN7" i="32" s="1"/>
  <c r="AP2" i="32" l="1" a="1"/>
  <c r="AP2" i="32" s="1"/>
  <c r="M17" i="69"/>
  <c r="AS2" i="32" a="1"/>
  <c r="AS2" i="32" s="1"/>
  <c r="BU2" i="32" a="1"/>
  <c r="BU2" i="32" s="1"/>
  <c r="AM6" i="32" a="1"/>
  <c r="AM6" i="32" s="1"/>
  <c r="AX2" i="32" a="1"/>
  <c r="AX2" i="32" s="1"/>
  <c r="AW2" i="32" a="1"/>
  <c r="AW2" i="32" s="1"/>
  <c r="BQ2" i="32" a="1"/>
  <c r="BQ2" i="32" s="1"/>
  <c r="AQ5" i="32" a="1"/>
  <c r="AQ5" i="32" s="1"/>
  <c r="BP2" i="32" a="1"/>
  <c r="BP2" i="32" s="1"/>
  <c r="CH2" i="32" a="1"/>
  <c r="CH2" i="32" s="1"/>
  <c r="AJ3" i="32" a="1"/>
  <c r="AJ3" i="32" s="1"/>
  <c r="AJ7" i="32" a="1"/>
  <c r="AJ7" i="32" s="1"/>
  <c r="AV2" i="32" a="1"/>
  <c r="AV2" i="32" s="1"/>
  <c r="BT2" i="32" a="1"/>
  <c r="BT2" i="32" s="1"/>
  <c r="AJ4" i="32" a="1"/>
  <c r="AJ4" i="32" s="1"/>
  <c r="AL5" i="32" a="1"/>
  <c r="AL5" i="32" s="1"/>
  <c r="CJ2" i="32" a="1"/>
  <c r="CJ2" i="32" s="1"/>
  <c r="CK2" i="32" a="1"/>
  <c r="CK2" i="32" s="1"/>
  <c r="CX2" i="32" a="1"/>
  <c r="CX2" i="32" s="1"/>
  <c r="AP6" i="32" a="1"/>
  <c r="AP6" i="32" s="1"/>
  <c r="AP5" i="32" a="1"/>
  <c r="AP5" i="32" s="1"/>
  <c r="CZ2" i="32" a="1"/>
  <c r="CZ2" i="32" s="1"/>
  <c r="DA2" i="32" a="1"/>
  <c r="DA2" i="32" s="1"/>
  <c r="AJ6" i="32" a="1"/>
  <c r="AJ6" i="32" s="1"/>
  <c r="AM7" i="32" a="1"/>
  <c r="AM7" i="32" s="1"/>
  <c r="AQ7" i="32" a="1"/>
  <c r="AQ7" i="32" s="1"/>
  <c r="AP7" i="32" a="1"/>
  <c r="AP7" i="32" s="1"/>
  <c r="AQ4" i="32" a="1"/>
  <c r="AQ4" i="32" s="1"/>
  <c r="AJ5" i="32" a="1"/>
  <c r="AJ5" i="32" s="1"/>
  <c r="AQ6" i="32" a="1"/>
  <c r="AQ6" i="32" s="1"/>
  <c r="AM5" i="32" a="1"/>
  <c r="AM5" i="32" s="1"/>
  <c r="AP3" i="32" a="1"/>
  <c r="AP3" i="32" s="1"/>
  <c r="AM4" i="32" a="1"/>
  <c r="AM4" i="32" s="1"/>
  <c r="AN2" i="32" a="1"/>
  <c r="AN2" i="32" s="1"/>
  <c r="AK7" i="32" a="1"/>
  <c r="AK7" i="32" s="1"/>
  <c r="CF2" i="32" a="1"/>
  <c r="CF2" i="32" s="1"/>
  <c r="CV2" i="32" a="1"/>
  <c r="CV2" i="32" s="1"/>
  <c r="AK6" i="32" a="1"/>
  <c r="AK6" i="32" s="1"/>
  <c r="AU2" i="32" a="1"/>
  <c r="AU2" i="32" s="1"/>
  <c r="AK2" i="32" a="1"/>
  <c r="AK2" i="32" s="1"/>
  <c r="AM2" i="32" a="1"/>
  <c r="AM2" i="32" s="1"/>
  <c r="AO2" i="32" a="1"/>
  <c r="AO2" i="32" s="1"/>
  <c r="AL2" i="32" a="1"/>
  <c r="AL2" i="32" s="1"/>
  <c r="AT2" i="32" a="1"/>
  <c r="AT2" i="32" s="1"/>
  <c r="AK3" i="32" a="1"/>
  <c r="AK3" i="32" s="1"/>
  <c r="AQ2" i="32" a="1"/>
  <c r="AQ2" i="32" s="1"/>
  <c r="AL4" i="32" a="1"/>
  <c r="AL4" i="32" s="1"/>
  <c r="AP4" i="32" a="1"/>
  <c r="AP4" i="32" s="1"/>
  <c r="AS3" i="32" a="1"/>
  <c r="AS3" i="32" s="1"/>
  <c r="AN3" i="32" a="1"/>
  <c r="AN3" i="32" s="1"/>
  <c r="AJ2" i="32" a="1"/>
  <c r="AJ2" i="32" s="1"/>
  <c r="C3" i="68" s="1" a="1"/>
  <c r="C3" i="68" s="1"/>
  <c r="BD2" i="32" a="1"/>
  <c r="BD2" i="32" s="1"/>
  <c r="AO3" i="32" a="1"/>
  <c r="AO3" i="32" s="1"/>
  <c r="BA2" i="32" a="1"/>
  <c r="BA2" i="32" s="1"/>
  <c r="AL3" i="32" a="1"/>
  <c r="AL3" i="32" s="1"/>
  <c r="AT3" i="32" a="1"/>
  <c r="AT3" i="32" s="1"/>
  <c r="AO4" i="32" a="1"/>
  <c r="AO4" i="32" s="1"/>
  <c r="AM3" i="32" a="1"/>
  <c r="AM3" i="32" s="1"/>
  <c r="AZ2" i="32" a="1"/>
  <c r="AZ2" i="32" s="1"/>
  <c r="E9" i="168" a="1"/>
  <c r="E9" i="168" s="1"/>
  <c r="I9" i="168" s="1"/>
  <c r="I19" i="2"/>
  <c r="B135" i="1"/>
  <c r="L3" i="45" a="1"/>
  <c r="L3" i="45" s="1"/>
  <c r="B129" i="1"/>
  <c r="L53" i="1"/>
  <c r="C53" i="1" s="1"/>
  <c r="L54" i="1"/>
  <c r="C54" i="1" s="1"/>
  <c r="F5" i="32" l="1"/>
  <c r="F6" i="32"/>
  <c r="F4" i="32"/>
  <c r="F7" i="32"/>
  <c r="F3" i="32"/>
  <c r="F3" i="70" a="1"/>
  <c r="F3" i="70" s="1"/>
  <c r="AR2" i="32" a="1"/>
  <c r="AR2" i="32" s="1"/>
  <c r="AR3" i="32" a="1"/>
  <c r="AR3" i="32" s="1"/>
  <c r="E10" i="168" a="1"/>
  <c r="E10" i="168" s="1"/>
  <c r="I20" i="2"/>
  <c r="F10" i="168" l="1" a="1"/>
  <c r="F10" i="168" s="1"/>
  <c r="I10" i="168" s="1"/>
  <c r="E11" i="168" a="1"/>
  <c r="E11" i="168" s="1"/>
  <c r="I11" i="168" s="1"/>
  <c r="I21" i="2"/>
  <c r="L14" i="1"/>
  <c r="L26" i="1"/>
  <c r="L6" i="1"/>
  <c r="L16" i="1"/>
  <c r="J2" i="32" l="1"/>
  <c r="J6" i="32"/>
  <c r="J7" i="32"/>
  <c r="J5" i="32"/>
  <c r="J3" i="32"/>
  <c r="J4" i="32"/>
  <c r="I22" i="2"/>
  <c r="L17" i="1"/>
  <c r="I23" i="2" l="1"/>
  <c r="A2" i="139"/>
  <c r="I44" i="2" l="1"/>
  <c r="B15" i="139"/>
  <c r="I45" i="2" l="1"/>
  <c r="E49" i="2"/>
  <c r="E50" i="2"/>
  <c r="E47" i="2"/>
  <c r="E43" i="2"/>
  <c r="E23" i="2"/>
  <c r="E22" i="2"/>
  <c r="E18" i="2"/>
  <c r="E13" i="2"/>
  <c r="D13" i="2"/>
  <c r="D14" i="2"/>
  <c r="D17" i="2"/>
  <c r="D18" i="2"/>
  <c r="D22" i="2"/>
  <c r="D23" i="2"/>
  <c r="D43" i="2"/>
  <c r="D47" i="2"/>
  <c r="D50" i="2"/>
  <c r="D49" i="2"/>
  <c r="I76" i="1"/>
  <c r="B76" i="1" s="1"/>
  <c r="I72" i="1"/>
  <c r="B72" i="1" s="1"/>
  <c r="B69" i="1"/>
  <c r="I44" i="1"/>
  <c r="B44" i="1" s="1"/>
  <c r="I46" i="1"/>
  <c r="B46" i="1" s="1"/>
  <c r="I39" i="1"/>
  <c r="B39" i="1" s="1"/>
  <c r="J200" i="1"/>
  <c r="J199" i="1"/>
  <c r="J198" i="1"/>
  <c r="J197" i="1"/>
  <c r="J183" i="1"/>
  <c r="J182" i="1"/>
  <c r="J181" i="1"/>
  <c r="J180" i="1"/>
  <c r="J166" i="1"/>
  <c r="J165" i="1"/>
  <c r="J164" i="1"/>
  <c r="J163" i="1"/>
  <c r="J149" i="1"/>
  <c r="J148" i="1"/>
  <c r="J147" i="1"/>
  <c r="J146" i="1"/>
  <c r="I112" i="1"/>
  <c r="B112" i="1" s="1"/>
  <c r="I111" i="1"/>
  <c r="B111" i="1" s="1"/>
  <c r="I109" i="1"/>
  <c r="B109" i="1" s="1"/>
  <c r="I110" i="1"/>
  <c r="B110" i="1" s="1"/>
  <c r="I107" i="1"/>
  <c r="B107" i="1" s="1"/>
  <c r="I108" i="1"/>
  <c r="B108" i="1" s="1"/>
  <c r="I98" i="1"/>
  <c r="B98" i="1" s="1"/>
  <c r="J93" i="1"/>
  <c r="J92" i="1"/>
  <c r="J90" i="1"/>
  <c r="J89" i="1"/>
  <c r="J88" i="1"/>
  <c r="J87" i="1"/>
  <c r="J86" i="1"/>
  <c r="I75" i="1"/>
  <c r="B75" i="1" s="1"/>
  <c r="I77" i="1"/>
  <c r="B77" i="1" s="1"/>
  <c r="I78" i="1"/>
  <c r="B78" i="1" s="1"/>
  <c r="I79" i="1"/>
  <c r="B79" i="1" s="1"/>
  <c r="I80" i="1"/>
  <c r="B80" i="1" s="1"/>
  <c r="I74" i="1"/>
  <c r="B74" i="1" s="1"/>
  <c r="I73" i="1"/>
  <c r="B73" i="1" s="1"/>
  <c r="B59" i="1"/>
  <c r="I70" i="1"/>
  <c r="B70" i="1" s="1"/>
  <c r="I71" i="1"/>
  <c r="B71" i="1" s="1"/>
  <c r="I55" i="1"/>
  <c r="B55" i="1" s="1"/>
  <c r="B4" i="1"/>
  <c r="I58" i="1"/>
  <c r="B58" i="1" s="1"/>
  <c r="J91" i="1"/>
  <c r="J85" i="1"/>
  <c r="I25" i="1"/>
  <c r="B25" i="1" s="1"/>
  <c r="I23" i="1"/>
  <c r="B23" i="1" s="1"/>
  <c r="E13" i="168" l="1" a="1"/>
  <c r="E13" i="168" s="1"/>
  <c r="I46" i="2"/>
  <c r="B136" i="1"/>
  <c r="I12" i="168" l="1"/>
  <c r="I13" i="168"/>
  <c r="I48" i="2"/>
  <c r="E14" i="168" a="1"/>
  <c r="E14" i="168" s="1"/>
  <c r="I14" i="168" s="1"/>
  <c r="S3" i="45" a="1"/>
  <c r="S3" i="45" s="1"/>
  <c r="E131" i="1"/>
  <c r="AY2" i="32" l="1" a="1"/>
  <c r="AY2" i="32" s="1"/>
  <c r="AY3" i="32" a="1"/>
  <c r="AY3" i="32" s="1"/>
  <c r="B17" i="69"/>
  <c r="B16" i="69"/>
  <c r="B15" i="69"/>
  <c r="B14" i="69"/>
  <c r="B13" i="69"/>
  <c r="B12" i="69"/>
  <c r="B11" i="69"/>
  <c r="B10" i="69"/>
  <c r="B9" i="69"/>
  <c r="B8" i="69"/>
  <c r="B7" i="69"/>
  <c r="B6" i="69"/>
  <c r="B5" i="69"/>
  <c r="A79" i="139"/>
  <c r="J33" i="1" l="1"/>
  <c r="J192" i="1" l="1"/>
  <c r="J175" i="1"/>
  <c r="J158" i="1"/>
  <c r="J141" i="1"/>
  <c r="F45" i="2"/>
  <c r="F44" i="2"/>
  <c r="C52" i="125" l="1"/>
  <c r="I85" i="1" l="1"/>
  <c r="B85" i="1" s="1"/>
  <c r="I29" i="1" l="1"/>
  <c r="B29" i="1" s="1"/>
  <c r="H47" i="125" l="1"/>
  <c r="H44" i="125"/>
  <c r="H45" i="125"/>
  <c r="H46" i="125"/>
  <c r="H43" i="125"/>
  <c r="F47" i="161" l="1" a="1"/>
  <c r="F47" i="161" s="1"/>
  <c r="E47" i="161" a="1"/>
  <c r="E47" i="161" s="1"/>
  <c r="D47" i="161" a="1"/>
  <c r="D47" i="161" s="1"/>
  <c r="C47" i="161" a="1"/>
  <c r="C47" i="161" s="1"/>
  <c r="B47" i="161"/>
  <c r="G42" i="161" a="1"/>
  <c r="G42" i="161" s="1"/>
  <c r="F42" i="161" a="1"/>
  <c r="F42" i="161" s="1"/>
  <c r="E42" i="161" a="1"/>
  <c r="E42" i="161" s="1"/>
  <c r="D42" i="161" a="1"/>
  <c r="D42" i="161" s="1"/>
  <c r="C42" i="161" a="1"/>
  <c r="C42" i="161" s="1"/>
  <c r="B42" i="161"/>
  <c r="G37" i="161" a="1"/>
  <c r="G37" i="161" s="1"/>
  <c r="F37" i="161" a="1"/>
  <c r="F37" i="161" s="1"/>
  <c r="E37" i="161" a="1"/>
  <c r="E37" i="161" s="1"/>
  <c r="D37" i="161" a="1"/>
  <c r="D37" i="161" s="1"/>
  <c r="C37" i="161" a="1"/>
  <c r="C37" i="161" s="1"/>
  <c r="B37" i="161"/>
  <c r="P32" i="161" a="1"/>
  <c r="P32" i="161" s="1"/>
  <c r="O32" i="161" a="1"/>
  <c r="O32" i="161" s="1"/>
  <c r="N32" i="161" a="1"/>
  <c r="N32" i="161" s="1"/>
  <c r="M32" i="161" a="1"/>
  <c r="M32" i="161" s="1"/>
  <c r="L32" i="161" a="1"/>
  <c r="L32" i="161" s="1"/>
  <c r="K32" i="161" a="1"/>
  <c r="K32" i="161" s="1"/>
  <c r="J32" i="161" a="1"/>
  <c r="J32" i="161" s="1"/>
  <c r="I32" i="161" a="1"/>
  <c r="I32" i="161" s="1"/>
  <c r="H32" i="161" a="1"/>
  <c r="H32" i="161" s="1"/>
  <c r="G32" i="161" a="1"/>
  <c r="G32" i="161" s="1"/>
  <c r="F32" i="161" a="1"/>
  <c r="F32" i="161" s="1"/>
  <c r="E32" i="161" a="1"/>
  <c r="E32" i="161" s="1"/>
  <c r="D32" i="161" a="1"/>
  <c r="D32" i="161" s="1"/>
  <c r="C32" i="161" a="1"/>
  <c r="C32" i="161" s="1"/>
  <c r="B32" i="161" a="1"/>
  <c r="B32" i="161" s="1"/>
  <c r="AN27" i="161" a="1"/>
  <c r="AN27" i="161" s="1"/>
  <c r="AM27" i="161" a="1"/>
  <c r="AM27" i="161" s="1"/>
  <c r="AL27" i="161" a="1"/>
  <c r="AL27" i="161" s="1"/>
  <c r="AK27" i="161" a="1"/>
  <c r="AK27" i="161" s="1"/>
  <c r="AJ27" i="161" a="1"/>
  <c r="AJ27" i="161" s="1"/>
  <c r="AI27" i="161" a="1"/>
  <c r="AI27" i="161" s="1"/>
  <c r="AH27" i="161" a="1"/>
  <c r="AH27" i="161" s="1"/>
  <c r="AG27" i="161" a="1"/>
  <c r="AG27" i="161" s="1"/>
  <c r="AF27" i="161" a="1"/>
  <c r="AF27" i="161" s="1"/>
  <c r="AE27" i="161" a="1"/>
  <c r="AE27" i="161" s="1"/>
  <c r="AD27" i="161" a="1"/>
  <c r="AD27" i="161" s="1"/>
  <c r="AC27" i="161" a="1"/>
  <c r="AC27" i="161" s="1"/>
  <c r="AB27" i="161" a="1"/>
  <c r="AB27" i="161" s="1"/>
  <c r="AA27" i="161" a="1"/>
  <c r="AA27" i="161" s="1"/>
  <c r="Z27" i="161" a="1"/>
  <c r="Z27" i="161" s="1"/>
  <c r="Y27" i="161" a="1"/>
  <c r="Y27" i="161" s="1"/>
  <c r="X27" i="161" a="1"/>
  <c r="X27" i="161" s="1"/>
  <c r="W27" i="161" a="1"/>
  <c r="W27" i="161" s="1"/>
  <c r="V27" i="161" a="1"/>
  <c r="V27" i="161" s="1"/>
  <c r="U27" i="161" a="1"/>
  <c r="U27" i="161" s="1"/>
  <c r="T27" i="161" a="1"/>
  <c r="T27" i="161" s="1"/>
  <c r="S27" i="161" a="1"/>
  <c r="S27" i="161" s="1"/>
  <c r="R27" i="161" a="1"/>
  <c r="R27" i="161" s="1"/>
  <c r="Q27" i="161" a="1"/>
  <c r="Q27" i="161" s="1"/>
  <c r="P27" i="161" a="1"/>
  <c r="P27" i="161" s="1"/>
  <c r="O27" i="161" a="1"/>
  <c r="O27" i="161" s="1"/>
  <c r="N27" i="161" a="1"/>
  <c r="N27" i="161" s="1"/>
  <c r="M27" i="161" a="1"/>
  <c r="M27" i="161" s="1"/>
  <c r="L27" i="161" a="1"/>
  <c r="L27" i="161" s="1"/>
  <c r="K27" i="161" a="1"/>
  <c r="K27" i="161" s="1"/>
  <c r="J27" i="161" a="1"/>
  <c r="J27" i="161" s="1"/>
  <c r="I27" i="161" a="1"/>
  <c r="I27" i="161" s="1"/>
  <c r="H27" i="161" a="1"/>
  <c r="H27" i="161" s="1"/>
  <c r="G27" i="161" a="1"/>
  <c r="G27" i="161" s="1"/>
  <c r="F27" i="161" a="1"/>
  <c r="F27" i="161" s="1"/>
  <c r="E27" i="161" a="1"/>
  <c r="E27" i="161" s="1"/>
  <c r="D27" i="161" a="1"/>
  <c r="D27" i="161" s="1"/>
  <c r="C27" i="161" a="1"/>
  <c r="C27" i="161" s="1"/>
  <c r="B27" i="161" a="1"/>
  <c r="B27" i="161" s="1"/>
  <c r="D22" i="161" a="1"/>
  <c r="D22" i="161" s="1"/>
  <c r="C22" i="161" a="1"/>
  <c r="C22" i="161" s="1"/>
  <c r="B22" i="161" a="1"/>
  <c r="B22" i="161" s="1"/>
  <c r="AH17" i="161" a="1"/>
  <c r="AH17" i="161" s="1"/>
  <c r="AG17" i="161" a="1"/>
  <c r="AG17" i="161" s="1"/>
  <c r="AF17" i="161" a="1"/>
  <c r="AF17" i="161" s="1"/>
  <c r="AE17" i="161" a="1"/>
  <c r="AE17" i="161" s="1"/>
  <c r="AD17" i="161" a="1"/>
  <c r="AD17" i="161" s="1"/>
  <c r="AC17" i="161" a="1"/>
  <c r="AC17" i="161" s="1"/>
  <c r="AB17" i="161" a="1"/>
  <c r="AB17" i="161" s="1"/>
  <c r="AA17" i="161" a="1"/>
  <c r="AA17" i="161" s="1"/>
  <c r="Z17" i="161"/>
  <c r="Y17" i="161" a="1"/>
  <c r="Y17" i="161" s="1"/>
  <c r="X17" i="161" a="1"/>
  <c r="X17" i="161" s="1"/>
  <c r="W17" i="161" a="1"/>
  <c r="W17" i="161" s="1"/>
  <c r="V17" i="161" a="1"/>
  <c r="V17" i="161" s="1"/>
  <c r="U17" i="161" a="1"/>
  <c r="U17" i="161" s="1"/>
  <c r="T17" i="161" a="1"/>
  <c r="T17" i="161" s="1"/>
  <c r="S17" i="161" a="1"/>
  <c r="S17" i="161" s="1"/>
  <c r="R17" i="161" a="1"/>
  <c r="R17" i="161" s="1"/>
  <c r="Q17" i="161" a="1"/>
  <c r="Q17" i="161" s="1"/>
  <c r="P17" i="161" a="1"/>
  <c r="P17" i="161" s="1"/>
  <c r="O17" i="161" a="1"/>
  <c r="O17" i="161" s="1"/>
  <c r="N17" i="161" a="1"/>
  <c r="N17" i="161" s="1"/>
  <c r="M17" i="161" a="1"/>
  <c r="M17" i="161" s="1"/>
  <c r="L17" i="161" a="1"/>
  <c r="L17" i="161" s="1"/>
  <c r="K17" i="161" a="1"/>
  <c r="K17" i="161" s="1"/>
  <c r="J17" i="161" a="1"/>
  <c r="J17" i="161" s="1"/>
  <c r="I17" i="161" a="1"/>
  <c r="I17" i="161" s="1"/>
  <c r="H17" i="161" a="1"/>
  <c r="H17" i="161" s="1"/>
  <c r="G17" i="161" a="1"/>
  <c r="G17" i="161" s="1"/>
  <c r="F17" i="161" a="1"/>
  <c r="F17" i="161" s="1"/>
  <c r="E17" i="161" a="1"/>
  <c r="E17" i="161" s="1"/>
  <c r="D17" i="161" a="1"/>
  <c r="D17" i="161" s="1"/>
  <c r="C17" i="161" a="1"/>
  <c r="C17" i="161" s="1"/>
  <c r="B17" i="161"/>
  <c r="AG12" i="161" a="1"/>
  <c r="AG12" i="161" s="1"/>
  <c r="AF12" i="161" a="1"/>
  <c r="AF12" i="161" s="1"/>
  <c r="AE12" i="161" a="1"/>
  <c r="AE12" i="161" s="1"/>
  <c r="AD12" i="161" a="1"/>
  <c r="AD12" i="161" s="1"/>
  <c r="AC12" i="161" a="1"/>
  <c r="AC12" i="161" s="1"/>
  <c r="AB12" i="161" a="1"/>
  <c r="AB12" i="161" s="1"/>
  <c r="AA12" i="161" a="1"/>
  <c r="AA12" i="161" s="1"/>
  <c r="Z12" i="161" a="1"/>
  <c r="Z12" i="161" s="1"/>
  <c r="Y12" i="161" a="1"/>
  <c r="Y12" i="161" s="1"/>
  <c r="X12" i="161" a="1"/>
  <c r="X12" i="161" s="1"/>
  <c r="W12" i="161" a="1"/>
  <c r="W12" i="161" s="1"/>
  <c r="V12" i="161" a="1"/>
  <c r="V12" i="161" s="1"/>
  <c r="U12" i="161" a="1"/>
  <c r="U12" i="161" s="1"/>
  <c r="T12" i="161" a="1"/>
  <c r="T12" i="161" s="1"/>
  <c r="S12" i="161" a="1"/>
  <c r="S12" i="161" s="1"/>
  <c r="R12" i="161" a="1"/>
  <c r="R12" i="161" s="1"/>
  <c r="Q12" i="161" a="1"/>
  <c r="Q12" i="161" s="1"/>
  <c r="P12" i="161" a="1"/>
  <c r="P12" i="161" s="1"/>
  <c r="O12" i="161" a="1"/>
  <c r="O12" i="161" s="1"/>
  <c r="N12" i="161" a="1"/>
  <c r="N12" i="161" s="1"/>
  <c r="M12" i="161" a="1"/>
  <c r="M12" i="161" s="1"/>
  <c r="L12" i="161" a="1"/>
  <c r="L12" i="161" s="1"/>
  <c r="K12" i="161" a="1"/>
  <c r="K12" i="161" s="1"/>
  <c r="J12" i="161" a="1"/>
  <c r="J12" i="161" s="1"/>
  <c r="I12" i="161" a="1"/>
  <c r="I12" i="161" s="1"/>
  <c r="H12" i="161" a="1"/>
  <c r="H12" i="161" s="1"/>
  <c r="G12" i="161" a="1"/>
  <c r="G12" i="161" s="1"/>
  <c r="F12" i="161" a="1"/>
  <c r="F12" i="161" s="1"/>
  <c r="E12" i="161" a="1"/>
  <c r="E12" i="161" s="1"/>
  <c r="D12" i="161" a="1"/>
  <c r="D12" i="161" s="1"/>
  <c r="C12" i="161" a="1"/>
  <c r="C12" i="161" s="1"/>
  <c r="B12" i="161"/>
  <c r="X7" i="161" a="1"/>
  <c r="X7" i="161" s="1"/>
  <c r="W7" i="161" a="1"/>
  <c r="W7" i="161" s="1"/>
  <c r="V7" i="161" a="1"/>
  <c r="V7" i="161" s="1"/>
  <c r="U7" i="161" a="1"/>
  <c r="U7" i="161" s="1"/>
  <c r="T7" i="161" a="1"/>
  <c r="T7" i="161" s="1"/>
  <c r="S7" i="161" a="1"/>
  <c r="S7" i="161" s="1"/>
  <c r="R7" i="161" a="1"/>
  <c r="R7" i="161" s="1"/>
  <c r="Q7" i="161" a="1"/>
  <c r="Q7" i="161" s="1"/>
  <c r="P7" i="161" a="1"/>
  <c r="P7" i="161" s="1"/>
  <c r="O7" i="161" a="1"/>
  <c r="O7" i="161" s="1"/>
  <c r="N7" i="161" a="1"/>
  <c r="N7" i="161" s="1"/>
  <c r="M7" i="161" a="1"/>
  <c r="M7" i="161" s="1"/>
  <c r="L7" i="161" a="1"/>
  <c r="L7" i="161" s="1"/>
  <c r="K7" i="161" a="1"/>
  <c r="K7" i="161" s="1"/>
  <c r="J7" i="161" a="1"/>
  <c r="J7" i="161" s="1"/>
  <c r="I7" i="161" a="1"/>
  <c r="I7" i="161" s="1"/>
  <c r="H7" i="161" a="1"/>
  <c r="H7" i="161" s="1"/>
  <c r="G7" i="161" a="1"/>
  <c r="G7" i="161" s="1"/>
  <c r="F7" i="161" a="1"/>
  <c r="F7" i="161" s="1"/>
  <c r="E7" i="161" a="1"/>
  <c r="E7" i="161" s="1"/>
  <c r="D7" i="161" a="1"/>
  <c r="D7" i="161" s="1"/>
  <c r="C7" i="161" a="1"/>
  <c r="C7" i="161" s="1"/>
  <c r="B7" i="161" a="1"/>
  <c r="B7" i="161" s="1"/>
  <c r="AR2" i="161" a="1"/>
  <c r="AR2" i="161" s="1"/>
  <c r="AQ2" i="161" a="1"/>
  <c r="AQ2" i="161" s="1"/>
  <c r="AP2" i="161" a="1"/>
  <c r="AP2" i="161" s="1"/>
  <c r="AO2" i="161" a="1"/>
  <c r="AO2" i="161" s="1"/>
  <c r="AN2" i="161" a="1"/>
  <c r="AN2" i="161" s="1"/>
  <c r="AM2" i="161" a="1"/>
  <c r="AM2" i="161" s="1"/>
  <c r="AL2" i="161" a="1"/>
  <c r="AL2" i="161" s="1"/>
  <c r="AK2" i="161" a="1"/>
  <c r="AK2" i="161" s="1"/>
  <c r="AJ2" i="161" a="1"/>
  <c r="AJ2" i="161" s="1"/>
  <c r="AI2" i="161" a="1"/>
  <c r="AI2" i="161" s="1"/>
  <c r="AH2" i="161" a="1"/>
  <c r="AH2" i="161" s="1"/>
  <c r="AG2" i="161" a="1"/>
  <c r="AG2" i="161" s="1"/>
  <c r="AF2" i="161" a="1"/>
  <c r="AF2" i="161" s="1"/>
  <c r="AE2" i="161" a="1"/>
  <c r="AE2" i="161" s="1"/>
  <c r="AD2" i="161" a="1"/>
  <c r="AD2" i="161" s="1"/>
  <c r="AC2" i="161" a="1"/>
  <c r="AC2" i="161" s="1"/>
  <c r="AB2" i="161" a="1"/>
  <c r="AB2" i="161" s="1"/>
  <c r="AA2" i="161" a="1"/>
  <c r="AA2" i="161" s="1"/>
  <c r="Z2" i="161" a="1"/>
  <c r="Z2" i="161" s="1"/>
  <c r="Y2" i="161" a="1"/>
  <c r="Y2" i="161" s="1"/>
  <c r="X2" i="161" a="1"/>
  <c r="X2" i="161" s="1"/>
  <c r="W2" i="161" a="1"/>
  <c r="W2" i="161" s="1"/>
  <c r="V2" i="161" a="1"/>
  <c r="V2" i="161" s="1"/>
  <c r="U2" i="161" a="1"/>
  <c r="U2" i="161" s="1"/>
  <c r="T2" i="161" a="1"/>
  <c r="T2" i="161" s="1"/>
  <c r="S2" i="161" a="1"/>
  <c r="S2" i="161" s="1"/>
  <c r="R2" i="161" a="1"/>
  <c r="R2" i="161" s="1"/>
  <c r="Q2" i="161" a="1"/>
  <c r="Q2" i="161" s="1"/>
  <c r="P2" i="161" a="1"/>
  <c r="P2" i="161" s="1"/>
  <c r="O2" i="161" a="1"/>
  <c r="O2" i="161" s="1"/>
  <c r="N2" i="161" a="1"/>
  <c r="N2" i="161" s="1"/>
  <c r="M2" i="161" a="1"/>
  <c r="M2" i="161" s="1"/>
  <c r="L2" i="161" a="1"/>
  <c r="L2" i="161" s="1"/>
  <c r="K2" i="161" a="1"/>
  <c r="K2" i="161" s="1"/>
  <c r="J2" i="161" a="1"/>
  <c r="J2" i="161" s="1"/>
  <c r="I2" i="161" a="1"/>
  <c r="I2" i="161" s="1"/>
  <c r="H2" i="161" a="1"/>
  <c r="H2" i="161" s="1"/>
  <c r="G2" i="161" a="1"/>
  <c r="G2" i="161" s="1"/>
  <c r="F2" i="161" a="1"/>
  <c r="F2" i="161" s="1"/>
  <c r="E2" i="161" a="1"/>
  <c r="E2" i="161" s="1"/>
  <c r="D2" i="161" a="1"/>
  <c r="D2" i="161" s="1"/>
  <c r="C2" i="161" a="1"/>
  <c r="C2" i="161" s="1"/>
  <c r="B2" i="161" a="1"/>
  <c r="B2" i="161" s="1"/>
  <c r="B140" i="145" l="1"/>
  <c r="B139" i="145"/>
  <c r="B138" i="145"/>
  <c r="B137" i="145"/>
  <c r="B136" i="145"/>
  <c r="D136" i="145"/>
  <c r="E136" i="145" s="1"/>
  <c r="D140" i="145" a="1"/>
  <c r="D140" i="145" s="1"/>
  <c r="E140" i="145" s="1"/>
  <c r="D139" i="145" a="1"/>
  <c r="D139" i="145" s="1"/>
  <c r="E139" i="145" s="1"/>
  <c r="D138" i="145" a="1"/>
  <c r="D138" i="145" s="1"/>
  <c r="E138" i="145" s="1"/>
  <c r="D137" i="145" a="1"/>
  <c r="D137" i="145" s="1"/>
  <c r="E137" i="145" s="1"/>
  <c r="D135" i="145"/>
  <c r="E135" i="145" s="1"/>
  <c r="B135" i="145"/>
  <c r="B134" i="145"/>
  <c r="B133" i="145"/>
  <c r="B130" i="145"/>
  <c r="B129" i="145"/>
  <c r="B122" i="145"/>
  <c r="D129" i="145"/>
  <c r="E129" i="145" s="1"/>
  <c r="D134" i="145" a="1"/>
  <c r="D134" i="145" s="1"/>
  <c r="E134" i="145" s="1"/>
  <c r="D133" i="145" a="1"/>
  <c r="D133" i="145" s="1"/>
  <c r="E133" i="145" s="1"/>
  <c r="D132" i="145" a="1"/>
  <c r="D132" i="145" s="1"/>
  <c r="E132" i="145" s="1"/>
  <c r="D131" i="145" a="1"/>
  <c r="D131" i="145" s="1"/>
  <c r="E131" i="145" s="1"/>
  <c r="D130" i="145" a="1"/>
  <c r="D130" i="145" s="1"/>
  <c r="E130" i="145" s="1"/>
  <c r="B128" i="145"/>
  <c r="B132" i="145"/>
  <c r="B131" i="145"/>
  <c r="D128" i="145"/>
  <c r="E128" i="145" s="1"/>
  <c r="I12" i="133"/>
  <c r="I13" i="133"/>
  <c r="I14" i="133"/>
  <c r="I15" i="133"/>
  <c r="I11" i="133"/>
  <c r="B127" i="145"/>
  <c r="B126" i="145"/>
  <c r="B125" i="145"/>
  <c r="B124" i="145"/>
  <c r="B123" i="145"/>
  <c r="D124" i="145" a="1"/>
  <c r="D124" i="145" s="1"/>
  <c r="E124" i="145" s="1"/>
  <c r="D125" i="145" a="1"/>
  <c r="D125" i="145" s="1"/>
  <c r="E125" i="145" s="1"/>
  <c r="D126" i="145" a="1"/>
  <c r="D126" i="145" s="1"/>
  <c r="E126" i="145" s="1"/>
  <c r="D127" i="145" a="1"/>
  <c r="D127" i="145" s="1"/>
  <c r="E127" i="145" s="1"/>
  <c r="D123" i="145" a="1"/>
  <c r="D123" i="145" s="1"/>
  <c r="E123" i="145" s="1"/>
  <c r="D122" i="145"/>
  <c r="E122" i="145" s="1"/>
  <c r="D121" i="145"/>
  <c r="E121" i="145" s="1"/>
  <c r="B121" i="145"/>
  <c r="B120" i="145"/>
  <c r="B119" i="145"/>
  <c r="B118" i="145"/>
  <c r="B117" i="145"/>
  <c r="B116" i="145"/>
  <c r="B115" i="145"/>
  <c r="B114" i="145"/>
  <c r="B113" i="145"/>
  <c r="B112" i="145"/>
  <c r="B111" i="145"/>
  <c r="B110" i="145"/>
  <c r="B109" i="145"/>
  <c r="B108" i="145"/>
  <c r="B107" i="145"/>
  <c r="I12" i="132"/>
  <c r="I13" i="132"/>
  <c r="I14" i="132"/>
  <c r="I15" i="132"/>
  <c r="I11" i="132"/>
  <c r="D106" i="145"/>
  <c r="E106" i="145" s="1"/>
  <c r="D108" i="145" a="1"/>
  <c r="D108" i="145" s="1"/>
  <c r="E108" i="145" s="1"/>
  <c r="D109" i="145" a="1"/>
  <c r="D109" i="145" s="1"/>
  <c r="E109" i="145" s="1"/>
  <c r="D110" i="145" a="1"/>
  <c r="D110" i="145" s="1"/>
  <c r="E110" i="145" s="1"/>
  <c r="D111" i="145" a="1"/>
  <c r="D111" i="145" s="1"/>
  <c r="E111" i="145" s="1"/>
  <c r="D112" i="145" a="1"/>
  <c r="D112" i="145" s="1"/>
  <c r="E112" i="145" s="1"/>
  <c r="D113" i="145" a="1"/>
  <c r="D113" i="145" s="1"/>
  <c r="E113" i="145" s="1"/>
  <c r="D114" i="145" a="1"/>
  <c r="D114" i="145" s="1"/>
  <c r="E114" i="145" s="1"/>
  <c r="D115" i="145" a="1"/>
  <c r="D115" i="145" s="1"/>
  <c r="E115" i="145" s="1"/>
  <c r="D116" i="145" a="1"/>
  <c r="D116" i="145" s="1"/>
  <c r="E116" i="145" s="1"/>
  <c r="D117" i="145" a="1"/>
  <c r="D117" i="145" s="1"/>
  <c r="E117" i="145" s="1"/>
  <c r="D118" i="145" a="1"/>
  <c r="D118" i="145" s="1"/>
  <c r="E118" i="145" s="1"/>
  <c r="D119" i="145" a="1"/>
  <c r="D119" i="145" s="1"/>
  <c r="E119" i="145" s="1"/>
  <c r="D120" i="145" a="1"/>
  <c r="D120" i="145" s="1"/>
  <c r="E120" i="145" s="1"/>
  <c r="D107" i="145" a="1"/>
  <c r="D107" i="145" s="1"/>
  <c r="E107" i="145" s="1"/>
  <c r="B106" i="145"/>
  <c r="D85" i="145" a="1"/>
  <c r="D85" i="145" s="1"/>
  <c r="E85" i="145" s="1"/>
  <c r="D86" i="145" a="1"/>
  <c r="D86" i="145" s="1"/>
  <c r="E86" i="145" s="1"/>
  <c r="D87" i="145" a="1"/>
  <c r="D87" i="145" s="1"/>
  <c r="E87" i="145" s="1"/>
  <c r="D88" i="145" a="1"/>
  <c r="D88" i="145" s="1"/>
  <c r="E88" i="145" s="1"/>
  <c r="D89" i="145" a="1"/>
  <c r="D89" i="145" s="1"/>
  <c r="E89" i="145" s="1"/>
  <c r="D90" i="145" a="1"/>
  <c r="D90" i="145" s="1"/>
  <c r="E90" i="145" s="1"/>
  <c r="D91" i="145" a="1"/>
  <c r="D91" i="145" s="1"/>
  <c r="E91" i="145" s="1"/>
  <c r="D92" i="145" a="1"/>
  <c r="D92" i="145" s="1"/>
  <c r="E92" i="145" s="1"/>
  <c r="D93" i="145" a="1"/>
  <c r="D93" i="145" s="1"/>
  <c r="E93" i="145" s="1"/>
  <c r="D94" i="145" a="1"/>
  <c r="D94" i="145" s="1"/>
  <c r="E94" i="145" s="1"/>
  <c r="D95" i="145" a="1"/>
  <c r="D95" i="145" s="1"/>
  <c r="E95" i="145" s="1"/>
  <c r="D96" i="145" a="1"/>
  <c r="D96" i="145" s="1"/>
  <c r="E96" i="145" s="1"/>
  <c r="D97" i="145" a="1"/>
  <c r="D97" i="145" s="1"/>
  <c r="E97" i="145" s="1"/>
  <c r="D98" i="145" a="1"/>
  <c r="D98" i="145" s="1"/>
  <c r="E98" i="145" s="1"/>
  <c r="D99" i="145" a="1"/>
  <c r="D99" i="145" s="1"/>
  <c r="E99" i="145" s="1"/>
  <c r="D100" i="145" a="1"/>
  <c r="D100" i="145" s="1"/>
  <c r="E100" i="145" s="1"/>
  <c r="D101" i="145" a="1"/>
  <c r="D101" i="145" s="1"/>
  <c r="E101" i="145" s="1"/>
  <c r="D102" i="145" a="1"/>
  <c r="D102" i="145" s="1"/>
  <c r="E102" i="145" s="1"/>
  <c r="D103" i="145" a="1"/>
  <c r="D103" i="145" s="1"/>
  <c r="E103" i="145" s="1"/>
  <c r="D104" i="145" a="1"/>
  <c r="D104" i="145" s="1"/>
  <c r="E104" i="145" s="1"/>
  <c r="D105" i="145" a="1"/>
  <c r="D105" i="145" s="1"/>
  <c r="E105" i="145" s="1"/>
  <c r="D84" i="145" a="1"/>
  <c r="D84" i="145" s="1"/>
  <c r="E84" i="145" s="1"/>
  <c r="D75" i="145" a="1"/>
  <c r="D75" i="145" s="1"/>
  <c r="E75" i="145" s="1"/>
  <c r="D76" i="145" a="1"/>
  <c r="D76" i="145" s="1"/>
  <c r="E76" i="145" s="1"/>
  <c r="D77" i="145" a="1"/>
  <c r="D77" i="145" s="1"/>
  <c r="E77" i="145" s="1"/>
  <c r="D78" i="145" a="1"/>
  <c r="D78" i="145" s="1"/>
  <c r="E78" i="145" s="1"/>
  <c r="D79" i="145" a="1"/>
  <c r="D79" i="145" s="1"/>
  <c r="E79" i="145" s="1"/>
  <c r="D80" i="145" a="1"/>
  <c r="D80" i="145" s="1"/>
  <c r="E80" i="145" s="1"/>
  <c r="D81" i="145" a="1"/>
  <c r="D81" i="145" s="1"/>
  <c r="E81" i="145" s="1"/>
  <c r="D82" i="145" a="1"/>
  <c r="D82" i="145" s="1"/>
  <c r="E82" i="145" s="1"/>
  <c r="D83" i="145" a="1"/>
  <c r="D83" i="145" s="1"/>
  <c r="E83" i="145" s="1"/>
  <c r="D74" i="145" a="1"/>
  <c r="D74" i="145" s="1"/>
  <c r="E74" i="145" s="1"/>
  <c r="B72" i="145"/>
  <c r="B71" i="145"/>
  <c r="B70" i="145"/>
  <c r="D71" i="145" a="1"/>
  <c r="D71" i="145" s="1"/>
  <c r="E71" i="145" s="1"/>
  <c r="D72" i="145" a="1"/>
  <c r="D72" i="145" s="1"/>
  <c r="E72" i="145" s="1"/>
  <c r="D70" i="145" a="1"/>
  <c r="D70" i="145" s="1"/>
  <c r="E70" i="145" s="1"/>
  <c r="B69" i="145"/>
  <c r="B68" i="145"/>
  <c r="D66" i="145" a="1"/>
  <c r="D66" i="145" s="1"/>
  <c r="E66" i="145" s="1"/>
  <c r="D67" i="145" a="1"/>
  <c r="D67" i="145" s="1"/>
  <c r="E67" i="145" s="1"/>
  <c r="D68" i="145" a="1"/>
  <c r="D68" i="145" s="1"/>
  <c r="E68" i="145" s="1"/>
  <c r="D69" i="145" a="1"/>
  <c r="D69" i="145" s="1"/>
  <c r="E69" i="145" s="1"/>
  <c r="D65" i="145" a="1"/>
  <c r="D65" i="145" s="1"/>
  <c r="E65" i="145" s="1"/>
  <c r="B67" i="145"/>
  <c r="B66" i="145"/>
  <c r="B65" i="145"/>
  <c r="D63" i="145" a="1"/>
  <c r="D63" i="145" s="1"/>
  <c r="E63" i="145" s="1"/>
  <c r="D64" i="145" a="1"/>
  <c r="D64" i="145" s="1"/>
  <c r="E64" i="145" s="1"/>
  <c r="D62" i="145" a="1"/>
  <c r="D62" i="145" s="1"/>
  <c r="E62" i="145" s="1"/>
  <c r="B64" i="145"/>
  <c r="B63" i="145"/>
  <c r="B62" i="145"/>
  <c r="B61" i="145"/>
  <c r="B60" i="145"/>
  <c r="B59" i="145"/>
  <c r="B58" i="145"/>
  <c r="B57" i="145"/>
  <c r="B56" i="145"/>
  <c r="B55" i="145"/>
  <c r="B54" i="145"/>
  <c r="B53" i="145"/>
  <c r="B52" i="145"/>
  <c r="B51" i="145"/>
  <c r="B50" i="145"/>
  <c r="B49" i="145"/>
  <c r="B48" i="145"/>
  <c r="B47" i="145"/>
  <c r="B46" i="145"/>
  <c r="B45" i="145"/>
  <c r="B44" i="145"/>
  <c r="B43" i="145"/>
  <c r="B42" i="145"/>
  <c r="B41" i="145"/>
  <c r="B40" i="145"/>
  <c r="B39" i="145"/>
  <c r="G20" i="136"/>
  <c r="H20" i="136" s="1"/>
  <c r="G22" i="136"/>
  <c r="G23" i="136"/>
  <c r="G24" i="136"/>
  <c r="G25" i="136"/>
  <c r="G26" i="136"/>
  <c r="G27" i="136"/>
  <c r="G28" i="136"/>
  <c r="G29" i="136"/>
  <c r="G30" i="136"/>
  <c r="G31" i="136"/>
  <c r="G32" i="136"/>
  <c r="G33" i="136"/>
  <c r="G34" i="136"/>
  <c r="G35" i="136"/>
  <c r="G36" i="136"/>
  <c r="G37" i="136"/>
  <c r="G21" i="136"/>
  <c r="G15" i="136"/>
  <c r="G16" i="136"/>
  <c r="G17" i="136"/>
  <c r="G18" i="136"/>
  <c r="G19" i="136"/>
  <c r="G14" i="136"/>
  <c r="D40" i="145" a="1"/>
  <c r="D40" i="145" s="1"/>
  <c r="E40" i="145" s="1"/>
  <c r="D41" i="145" a="1"/>
  <c r="D41" i="145" s="1"/>
  <c r="E41" i="145" s="1"/>
  <c r="D42" i="145" a="1"/>
  <c r="D42" i="145" s="1"/>
  <c r="E42" i="145" s="1"/>
  <c r="D43" i="145" a="1"/>
  <c r="D43" i="145" s="1"/>
  <c r="E43" i="145" s="1"/>
  <c r="D44" i="145" a="1"/>
  <c r="D44" i="145" s="1"/>
  <c r="E44" i="145" s="1"/>
  <c r="D45" i="145" a="1"/>
  <c r="D45" i="145" s="1"/>
  <c r="E45" i="145" s="1"/>
  <c r="D46" i="145" a="1"/>
  <c r="D46" i="145" s="1"/>
  <c r="E46" i="145" s="1"/>
  <c r="D47" i="145" a="1"/>
  <c r="D47" i="145" s="1"/>
  <c r="E47" i="145" s="1"/>
  <c r="D48" i="145" a="1"/>
  <c r="D48" i="145" s="1"/>
  <c r="E48" i="145" s="1"/>
  <c r="D49" i="145" a="1"/>
  <c r="D49" i="145" s="1"/>
  <c r="E49" i="145" s="1"/>
  <c r="D50" i="145" a="1"/>
  <c r="D50" i="145" s="1"/>
  <c r="E50" i="145" s="1"/>
  <c r="D51" i="145" a="1"/>
  <c r="D51" i="145" s="1"/>
  <c r="E51" i="145" s="1"/>
  <c r="D52" i="145" a="1"/>
  <c r="D52" i="145" s="1"/>
  <c r="E52" i="145" s="1"/>
  <c r="D53" i="145" a="1"/>
  <c r="D53" i="145" s="1"/>
  <c r="E53" i="145" s="1"/>
  <c r="D54" i="145" a="1"/>
  <c r="D54" i="145" s="1"/>
  <c r="E54" i="145" s="1"/>
  <c r="D55" i="145" a="1"/>
  <c r="D55" i="145" s="1"/>
  <c r="E55" i="145" s="1"/>
  <c r="D56" i="145" a="1"/>
  <c r="D56" i="145" s="1"/>
  <c r="E56" i="145" s="1"/>
  <c r="D57" i="145" a="1"/>
  <c r="D57" i="145" s="1"/>
  <c r="E57" i="145" s="1"/>
  <c r="D58" i="145" a="1"/>
  <c r="D58" i="145" s="1"/>
  <c r="E58" i="145" s="1"/>
  <c r="D59" i="145" a="1"/>
  <c r="D59" i="145" s="1"/>
  <c r="E59" i="145" s="1"/>
  <c r="D60" i="145" a="1"/>
  <c r="D60" i="145" s="1"/>
  <c r="E60" i="145" s="1"/>
  <c r="D61" i="145" a="1"/>
  <c r="D61" i="145" s="1"/>
  <c r="E61" i="145" s="1"/>
  <c r="D39" i="145" a="1"/>
  <c r="D39" i="145" s="1"/>
  <c r="E39" i="145" s="1"/>
  <c r="B37" i="145"/>
  <c r="B38" i="145"/>
  <c r="B36" i="145"/>
  <c r="B35" i="145"/>
  <c r="D34" i="145"/>
  <c r="E34" i="145" s="1"/>
  <c r="E33" i="145"/>
  <c r="E73" i="145"/>
  <c r="I47" i="125"/>
  <c r="I45" i="125"/>
  <c r="I48" i="125"/>
  <c r="I42" i="125"/>
  <c r="I38" i="125"/>
  <c r="I39" i="125"/>
  <c r="I32" i="125"/>
  <c r="J32" i="125" s="1"/>
  <c r="I33" i="125"/>
  <c r="J33" i="125" s="1"/>
  <c r="I34" i="125"/>
  <c r="J34" i="125" s="1"/>
  <c r="I35" i="125"/>
  <c r="J35" i="125" s="1"/>
  <c r="I36" i="125"/>
  <c r="J36" i="125" s="1"/>
  <c r="I46" i="125"/>
  <c r="I44" i="125"/>
  <c r="I43" i="125"/>
  <c r="J11" i="125"/>
  <c r="J12" i="125"/>
  <c r="J14" i="125"/>
  <c r="J16" i="125"/>
  <c r="J25" i="125"/>
  <c r="J26" i="125"/>
  <c r="J28" i="125"/>
  <c r="I10" i="125"/>
  <c r="J10" i="125" s="1"/>
  <c r="I13" i="125"/>
  <c r="J13" i="125" s="1"/>
  <c r="I15" i="125"/>
  <c r="J15" i="125" s="1"/>
  <c r="I17" i="125"/>
  <c r="J17" i="125" s="1"/>
  <c r="I18" i="125"/>
  <c r="J18" i="125" s="1"/>
  <c r="I19" i="125"/>
  <c r="J19" i="125" s="1"/>
  <c r="I20" i="125"/>
  <c r="J20" i="125" s="1"/>
  <c r="I21" i="125"/>
  <c r="J21" i="125" s="1"/>
  <c r="I22" i="125"/>
  <c r="J22" i="125" s="1"/>
  <c r="I23" i="125"/>
  <c r="J23" i="125" s="1"/>
  <c r="I24" i="125"/>
  <c r="J24" i="125" s="1"/>
  <c r="I27" i="125"/>
  <c r="J27" i="125" s="1"/>
  <c r="I29" i="125"/>
  <c r="J29" i="125" s="1"/>
  <c r="I9" i="125"/>
  <c r="J9" i="125" s="1"/>
  <c r="E23" i="145"/>
  <c r="D23" i="143" l="1"/>
  <c r="D27" i="143"/>
  <c r="D29" i="143"/>
  <c r="D25" i="143"/>
  <c r="L12" i="133"/>
  <c r="L13" i="133"/>
  <c r="L14" i="133"/>
  <c r="L15" i="133"/>
  <c r="L11" i="133"/>
  <c r="J12" i="133"/>
  <c r="K12" i="133" s="1"/>
  <c r="J13" i="133"/>
  <c r="K13" i="133" s="1"/>
  <c r="J14" i="133"/>
  <c r="K14" i="133" s="1"/>
  <c r="J15" i="133"/>
  <c r="K15" i="133" s="1"/>
  <c r="J11" i="133"/>
  <c r="K11" i="133" s="1"/>
  <c r="L9" i="133"/>
  <c r="J9" i="133"/>
  <c r="K9" i="133" s="1"/>
  <c r="L12" i="132"/>
  <c r="L13" i="132"/>
  <c r="L14" i="132"/>
  <c r="L15" i="132"/>
  <c r="L11" i="132"/>
  <c r="L9" i="132"/>
  <c r="J12" i="132"/>
  <c r="K12" i="132" s="1"/>
  <c r="J13" i="132"/>
  <c r="K13" i="132" s="1"/>
  <c r="J14" i="132"/>
  <c r="K14" i="132" s="1"/>
  <c r="J15" i="132"/>
  <c r="K15" i="132" s="1"/>
  <c r="J11" i="132"/>
  <c r="K11" i="132" s="1"/>
  <c r="J9" i="132"/>
  <c r="K9" i="132" s="1"/>
  <c r="L10" i="131"/>
  <c r="L11" i="131"/>
  <c r="L12" i="131"/>
  <c r="L14" i="131"/>
  <c r="L15" i="131"/>
  <c r="L16" i="131"/>
  <c r="L17" i="131"/>
  <c r="L18" i="131"/>
  <c r="L19" i="131"/>
  <c r="L20" i="131"/>
  <c r="L21" i="131"/>
  <c r="L22" i="131"/>
  <c r="L23" i="131"/>
  <c r="L9" i="131"/>
  <c r="J10" i="131"/>
  <c r="K10" i="131" s="1"/>
  <c r="J11" i="131"/>
  <c r="K11" i="131" s="1"/>
  <c r="J12" i="131"/>
  <c r="K12" i="131" s="1"/>
  <c r="J13" i="131"/>
  <c r="K13" i="131" s="1"/>
  <c r="J14" i="131"/>
  <c r="K14" i="131" s="1"/>
  <c r="J15" i="131"/>
  <c r="K15" i="131" s="1"/>
  <c r="J16" i="131"/>
  <c r="K16" i="131" s="1"/>
  <c r="J17" i="131"/>
  <c r="K17" i="131" s="1"/>
  <c r="J18" i="131"/>
  <c r="K18" i="131" s="1"/>
  <c r="J19" i="131"/>
  <c r="K19" i="131" s="1"/>
  <c r="J20" i="131"/>
  <c r="K20" i="131" s="1"/>
  <c r="J21" i="131"/>
  <c r="K21" i="131" s="1"/>
  <c r="J22" i="131"/>
  <c r="K22" i="131" s="1"/>
  <c r="J23" i="131"/>
  <c r="K23" i="131" s="1"/>
  <c r="J9" i="131"/>
  <c r="K9" i="131" s="1"/>
  <c r="B7" i="139"/>
  <c r="B9" i="139"/>
  <c r="K45" i="130"/>
  <c r="K46" i="130"/>
  <c r="K47" i="130"/>
  <c r="K44" i="130"/>
  <c r="L27" i="130"/>
  <c r="L28" i="130"/>
  <c r="L29" i="130"/>
  <c r="L30" i="130"/>
  <c r="L31" i="130"/>
  <c r="L32" i="130"/>
  <c r="L33" i="130"/>
  <c r="L34" i="130"/>
  <c r="L35" i="130"/>
  <c r="L26" i="130"/>
  <c r="L21" i="130"/>
  <c r="L22" i="130"/>
  <c r="L20" i="130"/>
  <c r="J21" i="130"/>
  <c r="K21" i="130" s="1"/>
  <c r="J22" i="130"/>
  <c r="K22" i="130" s="1"/>
  <c r="J20" i="130"/>
  <c r="K20" i="130" s="1"/>
  <c r="L11" i="128"/>
  <c r="L12" i="128"/>
  <c r="L13" i="128"/>
  <c r="L14" i="128"/>
  <c r="L10" i="128"/>
  <c r="H55" i="136"/>
  <c r="I55" i="136" s="1"/>
  <c r="H56" i="136"/>
  <c r="I56" i="136" s="1"/>
  <c r="H57" i="136"/>
  <c r="I57" i="136" s="1"/>
  <c r="H58" i="136"/>
  <c r="I58" i="136" s="1"/>
  <c r="H54" i="136"/>
  <c r="I54" i="136" s="1"/>
  <c r="H49" i="136"/>
  <c r="I49" i="136" s="1"/>
  <c r="H50" i="136"/>
  <c r="I50" i="136" s="1"/>
  <c r="H48" i="136"/>
  <c r="I48" i="136" s="1"/>
  <c r="H44" i="136"/>
  <c r="I44" i="136" s="1"/>
  <c r="H15" i="136"/>
  <c r="I15" i="136" s="1"/>
  <c r="H16" i="136"/>
  <c r="I16" i="136" s="1"/>
  <c r="H17" i="136"/>
  <c r="I17" i="136" s="1"/>
  <c r="H18" i="136"/>
  <c r="I18" i="136" s="1"/>
  <c r="H19" i="136"/>
  <c r="I19" i="136" s="1"/>
  <c r="H21" i="136"/>
  <c r="I21" i="136" s="1"/>
  <c r="H22" i="136"/>
  <c r="I22" i="136" s="1"/>
  <c r="H23" i="136"/>
  <c r="I23" i="136" s="1"/>
  <c r="H24" i="136"/>
  <c r="I24" i="136" s="1"/>
  <c r="H25" i="136"/>
  <c r="I25" i="136" s="1"/>
  <c r="H26" i="136"/>
  <c r="I26" i="136" s="1"/>
  <c r="H27" i="136"/>
  <c r="I27" i="136" s="1"/>
  <c r="H28" i="136"/>
  <c r="I28" i="136" s="1"/>
  <c r="H29" i="136"/>
  <c r="I29" i="136" s="1"/>
  <c r="H30" i="136"/>
  <c r="I30" i="136" s="1"/>
  <c r="H31" i="136"/>
  <c r="I31" i="136" s="1"/>
  <c r="H32" i="136"/>
  <c r="I32" i="136" s="1"/>
  <c r="H33" i="136"/>
  <c r="I33" i="136" s="1"/>
  <c r="H34" i="136"/>
  <c r="I34" i="136" s="1"/>
  <c r="H35" i="136"/>
  <c r="I35" i="136" s="1"/>
  <c r="H36" i="136"/>
  <c r="I36" i="136" s="1"/>
  <c r="H37" i="136"/>
  <c r="I37" i="136" s="1"/>
  <c r="H14" i="136"/>
  <c r="I14" i="136" s="1"/>
  <c r="H10" i="136"/>
  <c r="I10" i="136" s="1"/>
  <c r="H10" i="135"/>
  <c r="G63" i="135"/>
  <c r="G51" i="135"/>
  <c r="H51" i="135" s="1"/>
  <c r="I51" i="135" s="1"/>
  <c r="G52" i="135"/>
  <c r="H52" i="135" s="1"/>
  <c r="I52" i="135" s="1"/>
  <c r="G53" i="135"/>
  <c r="H53" i="135" s="1"/>
  <c r="I53" i="135" s="1"/>
  <c r="G54" i="135"/>
  <c r="H54" i="135" s="1"/>
  <c r="I54" i="135" s="1"/>
  <c r="G55" i="135"/>
  <c r="H55" i="135" s="1"/>
  <c r="I55" i="135" s="1"/>
  <c r="G56" i="135"/>
  <c r="H56" i="135" s="1"/>
  <c r="I56" i="135" s="1"/>
  <c r="G58" i="135"/>
  <c r="H58" i="135" s="1"/>
  <c r="I58" i="135" s="1"/>
  <c r="G59" i="135"/>
  <c r="H59" i="135" s="1"/>
  <c r="I59" i="135" s="1"/>
  <c r="G60" i="135"/>
  <c r="H60" i="135" s="1"/>
  <c r="I60" i="135" s="1"/>
  <c r="G61" i="135"/>
  <c r="H61" i="135" s="1"/>
  <c r="I61" i="135" s="1"/>
  <c r="G62" i="135"/>
  <c r="H62" i="135" s="1"/>
  <c r="I62" i="135" s="1"/>
  <c r="G50" i="135"/>
  <c r="H50" i="135" s="1"/>
  <c r="I50" i="135" s="1"/>
  <c r="G41" i="135"/>
  <c r="G36" i="135"/>
  <c r="H36" i="135" s="1"/>
  <c r="I36" i="135" s="1"/>
  <c r="G38" i="135"/>
  <c r="H38" i="135" s="1"/>
  <c r="I38" i="135" s="1"/>
  <c r="G39" i="135"/>
  <c r="H39" i="135" s="1"/>
  <c r="I39" i="135" s="1"/>
  <c r="G40" i="135"/>
  <c r="H40" i="135" s="1"/>
  <c r="I40" i="135" s="1"/>
  <c r="G35" i="135"/>
  <c r="H35" i="135" s="1"/>
  <c r="I35" i="135" s="1"/>
  <c r="G28" i="135"/>
  <c r="G27" i="135"/>
  <c r="G20" i="135"/>
  <c r="H20" i="135" s="1"/>
  <c r="I20" i="135" s="1"/>
  <c r="G21" i="135"/>
  <c r="H21" i="135" s="1"/>
  <c r="I21" i="135" s="1"/>
  <c r="G22" i="135"/>
  <c r="H22" i="135" s="1"/>
  <c r="I22" i="135" s="1"/>
  <c r="G23" i="135"/>
  <c r="H23" i="135" s="1"/>
  <c r="I23" i="135" s="1"/>
  <c r="G24" i="135"/>
  <c r="H24" i="135" s="1"/>
  <c r="I24" i="135" s="1"/>
  <c r="G25" i="135"/>
  <c r="H25" i="135" s="1"/>
  <c r="I25" i="135" s="1"/>
  <c r="G26" i="135"/>
  <c r="H26" i="135" s="1"/>
  <c r="I26" i="135" s="1"/>
  <c r="G19" i="135"/>
  <c r="H19" i="135" s="1"/>
  <c r="I19" i="135" s="1"/>
  <c r="I10" i="135"/>
  <c r="J19" i="128"/>
  <c r="K19" i="128" s="1"/>
  <c r="J20" i="128"/>
  <c r="K20" i="128" s="1"/>
  <c r="J21" i="128"/>
  <c r="K21" i="128" s="1"/>
  <c r="J22" i="128"/>
  <c r="K22" i="128" s="1"/>
  <c r="J23" i="128"/>
  <c r="K23" i="128" s="1"/>
  <c r="D30" i="145" s="1" a="1"/>
  <c r="D30" i="145" s="1"/>
  <c r="E30" i="145" s="1"/>
  <c r="J24" i="128"/>
  <c r="K24" i="128" s="1"/>
  <c r="J25" i="128"/>
  <c r="K25" i="128" s="1"/>
  <c r="J26" i="128"/>
  <c r="K26" i="128" s="1"/>
  <c r="J27" i="128"/>
  <c r="K27" i="128" s="1"/>
  <c r="J18" i="128"/>
  <c r="K18" i="128" s="1"/>
  <c r="D29" i="145" s="1" a="1"/>
  <c r="D29" i="145" s="1"/>
  <c r="E29" i="145" s="1"/>
  <c r="K11" i="128"/>
  <c r="K12" i="128"/>
  <c r="K13" i="128"/>
  <c r="K14" i="128"/>
  <c r="K10" i="128"/>
  <c r="J11" i="128"/>
  <c r="J12" i="128"/>
  <c r="J13" i="128"/>
  <c r="J14" i="128"/>
  <c r="J10" i="128"/>
  <c r="G52" i="125"/>
  <c r="H51" i="125"/>
  <c r="I51" i="125" s="1"/>
  <c r="H50" i="125"/>
  <c r="I50" i="125" s="1"/>
  <c r="H49" i="125"/>
  <c r="I49" i="125" s="1"/>
  <c r="H41" i="125"/>
  <c r="I41" i="125" s="1"/>
  <c r="H40" i="125"/>
  <c r="I40" i="125" s="1"/>
  <c r="H37" i="125"/>
  <c r="I37" i="125" s="1"/>
  <c r="J37" i="125" s="1"/>
  <c r="H31" i="125"/>
  <c r="I31" i="125" s="1"/>
  <c r="J31" i="125" s="1"/>
  <c r="H30" i="125"/>
  <c r="I30" i="125" s="1"/>
  <c r="J30" i="125" s="1"/>
  <c r="M1" i="132" l="1"/>
  <c r="M1" i="133"/>
  <c r="J1" i="136"/>
  <c r="M1" i="131"/>
  <c r="A32" i="161" s="1"/>
  <c r="E1" i="143"/>
  <c r="D24" i="145" a="1"/>
  <c r="D24" i="145" s="1"/>
  <c r="E24" i="145" s="1"/>
  <c r="D25" i="145" a="1"/>
  <c r="D25" i="145" s="1"/>
  <c r="E25" i="145" s="1"/>
  <c r="H41" i="135"/>
  <c r="I41" i="135" s="1"/>
  <c r="D37" i="145" a="1"/>
  <c r="D37" i="145" s="1"/>
  <c r="E37" i="145" s="1"/>
  <c r="A22" i="161"/>
  <c r="D26" i="145" a="1"/>
  <c r="D26" i="145" s="1"/>
  <c r="E26" i="145" s="1"/>
  <c r="D28" i="145" a="1"/>
  <c r="D28" i="145" s="1"/>
  <c r="E28" i="145" s="1"/>
  <c r="H27" i="135"/>
  <c r="I27" i="135" s="1"/>
  <c r="D35" i="145" a="1"/>
  <c r="D35" i="145" s="1"/>
  <c r="E35" i="145" s="1"/>
  <c r="H63" i="135"/>
  <c r="I63" i="135" s="1"/>
  <c r="D38" i="145" a="1"/>
  <c r="D38" i="145" s="1"/>
  <c r="E38" i="145" s="1"/>
  <c r="D27" i="145" a="1"/>
  <c r="D27" i="145" s="1"/>
  <c r="E27" i="145" s="1"/>
  <c r="H28" i="135"/>
  <c r="I28" i="135" s="1"/>
  <c r="D36" i="145" a="1"/>
  <c r="D36" i="145" s="1"/>
  <c r="E36" i="145" s="1"/>
  <c r="I65" i="130"/>
  <c r="J65" i="130" s="1"/>
  <c r="K65" i="130" s="1"/>
  <c r="I57" i="130"/>
  <c r="J57" i="130" s="1"/>
  <c r="K57" i="130" s="1"/>
  <c r="I64" i="130"/>
  <c r="J64" i="130" s="1"/>
  <c r="K64" i="130" s="1"/>
  <c r="I54" i="130"/>
  <c r="J54" i="130" s="1"/>
  <c r="K54" i="130" s="1"/>
  <c r="I71" i="130"/>
  <c r="J71" i="130" s="1"/>
  <c r="K71" i="130" s="1"/>
  <c r="I51" i="130"/>
  <c r="J51" i="130" s="1"/>
  <c r="K51" i="130" s="1"/>
  <c r="I63" i="130"/>
  <c r="J63" i="130" s="1"/>
  <c r="K63" i="130" s="1"/>
  <c r="I68" i="130"/>
  <c r="J68" i="130" s="1"/>
  <c r="K68" i="130" s="1"/>
  <c r="I56" i="130"/>
  <c r="J56" i="130" s="1"/>
  <c r="K56" i="130" s="1"/>
  <c r="I50" i="130"/>
  <c r="J50" i="130" s="1"/>
  <c r="K50" i="130" s="1"/>
  <c r="I62" i="130"/>
  <c r="J62" i="130" s="1"/>
  <c r="K62" i="130" s="1"/>
  <c r="I67" i="130"/>
  <c r="J67" i="130" s="1"/>
  <c r="K67" i="130" s="1"/>
  <c r="I53" i="130"/>
  <c r="J53" i="130" s="1"/>
  <c r="K53" i="130" s="1"/>
  <c r="I55" i="130"/>
  <c r="J55" i="130" s="1"/>
  <c r="K55" i="130" s="1"/>
  <c r="I61" i="130"/>
  <c r="J61" i="130" s="1"/>
  <c r="K61" i="130" s="1"/>
  <c r="I70" i="130"/>
  <c r="J70" i="130" s="1"/>
  <c r="K70" i="130" s="1"/>
  <c r="I66" i="130"/>
  <c r="J66" i="130" s="1"/>
  <c r="K66" i="130" s="1"/>
  <c r="I52" i="130"/>
  <c r="J52" i="130" s="1"/>
  <c r="K52" i="130" s="1"/>
  <c r="I58" i="130"/>
  <c r="J58" i="130" s="1"/>
  <c r="K58" i="130" s="1"/>
  <c r="I59" i="130"/>
  <c r="J59" i="130" s="1"/>
  <c r="K59" i="130" s="1"/>
  <c r="I60" i="130"/>
  <c r="J60" i="130" s="1"/>
  <c r="K60" i="130" s="1"/>
  <c r="I69" i="130"/>
  <c r="J69" i="130" s="1"/>
  <c r="K69" i="130" s="1"/>
  <c r="J27" i="130"/>
  <c r="K27" i="130" s="1"/>
  <c r="J34" i="130"/>
  <c r="K34" i="130" s="1"/>
  <c r="J30" i="130"/>
  <c r="K30" i="130" s="1"/>
  <c r="J33" i="130"/>
  <c r="K33" i="130" s="1"/>
  <c r="J29" i="130"/>
  <c r="K29" i="130" s="1"/>
  <c r="K26" i="130"/>
  <c r="J32" i="130"/>
  <c r="K32" i="130" s="1"/>
  <c r="J28" i="130"/>
  <c r="K28" i="130" s="1"/>
  <c r="J35" i="130"/>
  <c r="K35" i="130" s="1"/>
  <c r="J31" i="130"/>
  <c r="K31" i="130" s="1"/>
  <c r="H52" i="125"/>
  <c r="I52" i="125" s="1"/>
  <c r="C11" i="139" l="1"/>
  <c r="L1" i="130"/>
  <c r="A27" i="161" s="1"/>
  <c r="J1" i="135"/>
  <c r="C7" i="139" s="1"/>
  <c r="C15" i="139"/>
  <c r="A47" i="161"/>
  <c r="C14" i="139"/>
  <c r="C13" i="139"/>
  <c r="A42" i="161"/>
  <c r="C12" i="139"/>
  <c r="A37" i="161"/>
  <c r="C8" i="139"/>
  <c r="A17" i="161"/>
  <c r="A12" i="161"/>
  <c r="C10" i="139" l="1"/>
  <c r="F38" i="2" l="1"/>
  <c r="F20" i="2"/>
  <c r="F19" i="2"/>
  <c r="F39" i="2"/>
  <c r="F21" i="2"/>
  <c r="F40" i="2"/>
  <c r="I115" i="1"/>
  <c r="B115" i="1" s="1"/>
  <c r="I118" i="1"/>
  <c r="B118" i="1" s="1"/>
  <c r="I116" i="1"/>
  <c r="B116" i="1" s="1"/>
  <c r="I117" i="1"/>
  <c r="B117" i="1" s="1"/>
  <c r="I114" i="1"/>
  <c r="B114" i="1" s="1"/>
  <c r="C9" i="69"/>
  <c r="C5" i="69"/>
  <c r="C6" i="69"/>
  <c r="C10" i="69"/>
  <c r="C7" i="69"/>
  <c r="C12" i="69"/>
  <c r="C8" i="69"/>
  <c r="C11" i="69"/>
  <c r="I82" i="1"/>
  <c r="B82" i="1" s="1"/>
  <c r="I83" i="1"/>
  <c r="B83" i="1" s="1"/>
  <c r="I84" i="1"/>
  <c r="B84" i="1" s="1"/>
  <c r="I81" i="1"/>
  <c r="B81" i="1" s="1"/>
  <c r="B14" i="139" l="1"/>
  <c r="B13" i="139"/>
  <c r="B12" i="139"/>
  <c r="B11" i="139"/>
  <c r="B10" i="139"/>
  <c r="B8" i="139"/>
  <c r="B6" i="139"/>
  <c r="B5" i="139"/>
  <c r="F42" i="2"/>
  <c r="F41" i="2"/>
  <c r="F37" i="2"/>
  <c r="F36" i="2"/>
  <c r="D36" i="2" s="1"/>
  <c r="F35" i="2"/>
  <c r="F34" i="2"/>
  <c r="F33" i="2"/>
  <c r="F32" i="2"/>
  <c r="F31" i="2"/>
  <c r="F30" i="2"/>
  <c r="F29" i="2"/>
  <c r="F28" i="2"/>
  <c r="F27" i="2"/>
  <c r="F26" i="2"/>
  <c r="F25" i="2"/>
  <c r="F24" i="2"/>
  <c r="F12" i="2"/>
  <c r="F11" i="2"/>
  <c r="F10" i="2"/>
  <c r="F9" i="2"/>
  <c r="F8" i="2"/>
  <c r="D8" i="2" s="1"/>
  <c r="F7" i="2"/>
  <c r="F6" i="2"/>
  <c r="F5" i="2"/>
  <c r="D5" i="2" s="1"/>
  <c r="F4" i="2"/>
  <c r="G31" i="2"/>
  <c r="G26" i="2"/>
  <c r="G25" i="2"/>
  <c r="I93" i="1"/>
  <c r="B93" i="1" s="1"/>
  <c r="I92" i="1"/>
  <c r="B92" i="1" s="1"/>
  <c r="I91" i="1"/>
  <c r="B91" i="1" s="1"/>
  <c r="I90" i="1"/>
  <c r="B90" i="1" s="1"/>
  <c r="I89" i="1"/>
  <c r="B89" i="1" s="1"/>
  <c r="I88" i="1"/>
  <c r="B88" i="1" s="1"/>
  <c r="I87" i="1"/>
  <c r="B87" i="1" s="1"/>
  <c r="I86" i="1"/>
  <c r="B86" i="1" s="1"/>
  <c r="D10" i="2" l="1"/>
  <c r="E10" i="2"/>
  <c r="D29" i="2"/>
  <c r="E29" i="2"/>
  <c r="D37" i="2"/>
  <c r="E37" i="2"/>
  <c r="D26" i="2"/>
  <c r="E26" i="2"/>
  <c r="D4" i="2"/>
  <c r="E4" i="2"/>
  <c r="D12" i="2"/>
  <c r="E12" i="2"/>
  <c r="D27" i="2"/>
  <c r="E27" i="2"/>
  <c r="D31" i="2"/>
  <c r="E31" i="2"/>
  <c r="D42" i="2"/>
  <c r="E42" i="2"/>
  <c r="D25" i="2"/>
  <c r="E25" i="2"/>
  <c r="D33" i="2"/>
  <c r="E33" i="2"/>
  <c r="D11" i="2"/>
  <c r="E11" i="2"/>
  <c r="D30" i="2"/>
  <c r="E30" i="2"/>
  <c r="D41" i="2"/>
  <c r="E41" i="2"/>
  <c r="D9" i="2"/>
  <c r="D24" i="2"/>
  <c r="E24" i="2"/>
  <c r="D28" i="2"/>
  <c r="E28" i="2"/>
  <c r="D32" i="2"/>
  <c r="E32" i="2"/>
  <c r="C14" i="1"/>
  <c r="J48" i="125"/>
  <c r="J44" i="125"/>
  <c r="J40" i="125"/>
  <c r="J51" i="125"/>
  <c r="J47" i="125"/>
  <c r="J43" i="125"/>
  <c r="J39" i="125"/>
  <c r="J50" i="125"/>
  <c r="J46" i="125"/>
  <c r="J42" i="125"/>
  <c r="J38" i="125"/>
  <c r="J49" i="125"/>
  <c r="J45" i="125"/>
  <c r="J41" i="125"/>
  <c r="C16" i="1" l="1"/>
  <c r="C9" i="139"/>
  <c r="D4" i="123" l="1"/>
  <c r="B7" i="123" l="1"/>
  <c r="A7" i="123"/>
  <c r="B6" i="123"/>
  <c r="A6" i="123"/>
  <c r="B5" i="123"/>
  <c r="A5" i="123"/>
  <c r="B4" i="123"/>
  <c r="A4" i="123"/>
  <c r="B19" i="123"/>
  <c r="A19" i="123"/>
  <c r="B18" i="123"/>
  <c r="A18" i="123"/>
  <c r="B17" i="123"/>
  <c r="A17" i="123"/>
  <c r="B16" i="123"/>
  <c r="A16" i="123"/>
  <c r="B15" i="123"/>
  <c r="A15" i="123"/>
  <c r="B14" i="123"/>
  <c r="A14" i="123"/>
  <c r="B13" i="123"/>
  <c r="A13" i="123"/>
  <c r="B12" i="123"/>
  <c r="A12" i="123"/>
  <c r="B11" i="123"/>
  <c r="A11" i="123"/>
  <c r="B10" i="123"/>
  <c r="A10" i="123"/>
  <c r="B9" i="123"/>
  <c r="A9" i="123"/>
  <c r="B8" i="123"/>
  <c r="A8" i="123"/>
  <c r="H15" i="168" l="1" a="1"/>
  <c r="H15" i="168" s="1"/>
  <c r="A1" i="167" a="1"/>
  <c r="A1" i="167" s="1"/>
  <c r="A1" i="166" a="1"/>
  <c r="A1" i="166" s="1"/>
  <c r="K1" i="165" a="1"/>
  <c r="K1" i="165" s="1"/>
  <c r="A2" i="167" a="1"/>
  <c r="A2" i="167" s="1"/>
  <c r="G1" i="166" a="1"/>
  <c r="G1" i="166" s="1"/>
  <c r="B8" i="166" s="1"/>
  <c r="A2" i="165" a="1"/>
  <c r="A2" i="165" s="1"/>
  <c r="E1" i="167" a="1"/>
  <c r="E1" i="167" s="1"/>
  <c r="K8" i="167" s="1"/>
  <c r="B8" i="167" s="1"/>
  <c r="A2" i="166" a="1"/>
  <c r="A2" i="166" s="1"/>
  <c r="I28" i="128" a="1"/>
  <c r="I28" i="128" s="1"/>
  <c r="I32" i="128" a="1"/>
  <c r="I32" i="128" s="1"/>
  <c r="H32" i="128" a="1"/>
  <c r="H32" i="128" s="1"/>
  <c r="H28" i="128" a="1"/>
  <c r="H28" i="128" s="1"/>
  <c r="A2" i="145" a="1"/>
  <c r="A2" i="145" s="1"/>
  <c r="I29" i="128" a="1"/>
  <c r="I29" i="128" s="1"/>
  <c r="I33" i="128" a="1"/>
  <c r="I33" i="128" s="1"/>
  <c r="H33" i="128" a="1"/>
  <c r="H33" i="128" s="1"/>
  <c r="H29" i="128" a="1"/>
  <c r="H29" i="128" s="1"/>
  <c r="A2" i="89" a="1"/>
  <c r="A2" i="89" s="1"/>
  <c r="A2" i="132" a="1"/>
  <c r="A2" i="132" s="1"/>
  <c r="A2" i="136" a="1"/>
  <c r="A2" i="136" s="1"/>
  <c r="I30" i="128" a="1"/>
  <c r="I30" i="128" s="1"/>
  <c r="I34" i="128" a="1"/>
  <c r="I34" i="128" s="1"/>
  <c r="H34" i="128" a="1"/>
  <c r="H34" i="128" s="1"/>
  <c r="H30" i="128" a="1"/>
  <c r="H30" i="128" s="1"/>
  <c r="A2" i="133" a="1"/>
  <c r="A2" i="133" s="1"/>
  <c r="A2" i="125" a="1"/>
  <c r="A2" i="125" s="1"/>
  <c r="A2" i="143" a="1"/>
  <c r="A2" i="143" s="1"/>
  <c r="A2" i="131" a="1"/>
  <c r="A2" i="131" s="1"/>
  <c r="A2" i="135" a="1"/>
  <c r="A2" i="135" s="1"/>
  <c r="I31" i="128" a="1"/>
  <c r="I31" i="128" s="1"/>
  <c r="I35" i="128" a="1"/>
  <c r="I35" i="128" s="1"/>
  <c r="H35" i="128" a="1"/>
  <c r="H35" i="128" s="1"/>
  <c r="H31" i="128" a="1"/>
  <c r="H31" i="128" s="1"/>
  <c r="A2" i="90" a="1"/>
  <c r="A2" i="90" s="1"/>
  <c r="A2" i="130" a="1"/>
  <c r="A2" i="130" s="1"/>
  <c r="A2" i="128" a="1"/>
  <c r="A2" i="128" s="1"/>
  <c r="E9" i="69" a="1"/>
  <c r="E9" i="69" s="1"/>
  <c r="A5" i="67" a="1"/>
  <c r="A5" i="67" s="1"/>
  <c r="A3" i="67" a="1"/>
  <c r="A3" i="67" s="1"/>
  <c r="A8" i="67" a="1"/>
  <c r="A8" i="67" s="1"/>
  <c r="B79" i="139" a="1"/>
  <c r="B79" i="139" s="1"/>
  <c r="H9" i="69" l="1" a="1"/>
  <c r="H9" i="69" s="1"/>
  <c r="G9" i="69" a="1"/>
  <c r="G9" i="69" s="1"/>
  <c r="F9" i="69" a="1"/>
  <c r="F9" i="69" s="1"/>
  <c r="Q19" i="165"/>
  <c r="A8" i="165"/>
  <c r="A12" i="165"/>
  <c r="A14" i="165"/>
  <c r="A10" i="165"/>
  <c r="A16" i="165"/>
  <c r="J30" i="128"/>
  <c r="K30" i="128" s="1"/>
  <c r="J33" i="128"/>
  <c r="K33" i="128" s="1"/>
  <c r="J34" i="128"/>
  <c r="K34" i="128" s="1"/>
  <c r="J35" i="128"/>
  <c r="K35" i="128" s="1"/>
  <c r="J32" i="128"/>
  <c r="K32" i="128" s="1"/>
  <c r="D32" i="145" s="1" a="1"/>
  <c r="D32" i="145" s="1"/>
  <c r="E32" i="145" s="1"/>
  <c r="J28" i="128"/>
  <c r="K28" i="128" s="1"/>
  <c r="J29" i="128"/>
  <c r="K29" i="128" s="1"/>
  <c r="J31" i="128"/>
  <c r="K31" i="128" s="1"/>
  <c r="D31" i="145" l="1" a="1"/>
  <c r="D31" i="145" s="1"/>
  <c r="E31" i="145" s="1"/>
  <c r="M1" i="128"/>
  <c r="G20" i="69"/>
  <c r="I9" i="69"/>
  <c r="FS2" i="32" a="1"/>
  <c r="FS2" i="32" s="1"/>
  <c r="FW2" i="32" a="1"/>
  <c r="FW2" i="32" s="1"/>
  <c r="FV2" i="32" a="1"/>
  <c r="FV2" i="32" s="1"/>
  <c r="FU2" i="32" a="1"/>
  <c r="FU2" i="32" s="1"/>
  <c r="FT2" i="32" a="1"/>
  <c r="FT2" i="32" s="1"/>
  <c r="FX2" i="32" a="1"/>
  <c r="FX2" i="32" s="1"/>
  <c r="FS3" i="32" a="1"/>
  <c r="FS3" i="32" s="1"/>
  <c r="FS7" i="32" a="1"/>
  <c r="FS7" i="32" s="1"/>
  <c r="FS6" i="32" a="1"/>
  <c r="FS6" i="32" s="1"/>
  <c r="FS5" i="32" a="1"/>
  <c r="FS5" i="32" s="1"/>
  <c r="FS4" i="32" a="1"/>
  <c r="FS4" i="32" s="1"/>
  <c r="FG2" i="32" a="1"/>
  <c r="FG2" i="32" s="1"/>
  <c r="FG7" i="32" a="1"/>
  <c r="FG7" i="32" s="1"/>
  <c r="FG6" i="32" a="1"/>
  <c r="FG6" i="32" s="1"/>
  <c r="FG5" i="32" a="1"/>
  <c r="FG5" i="32" s="1"/>
  <c r="FG4" i="32" a="1"/>
  <c r="FG4" i="32" s="1"/>
  <c r="FG3" i="32" a="1"/>
  <c r="FG3" i="32" s="1"/>
  <c r="FH2" i="32" a="1"/>
  <c r="FH2" i="32" s="1"/>
  <c r="FL2" i="32" a="1"/>
  <c r="FL2" i="32" s="1"/>
  <c r="FK2" i="32" a="1"/>
  <c r="FK2" i="32" s="1"/>
  <c r="FJ2" i="32" a="1"/>
  <c r="FJ2" i="32" s="1"/>
  <c r="FI2" i="32" a="1"/>
  <c r="FI2" i="32" s="1"/>
  <c r="FM2" i="32" a="1"/>
  <c r="FM2" i="32" s="1"/>
  <c r="FM7" i="32" a="1"/>
  <c r="FM7" i="32" s="1"/>
  <c r="FM6" i="32" a="1"/>
  <c r="FM6" i="32" s="1"/>
  <c r="FM5" i="32" a="1"/>
  <c r="FM5" i="32" s="1"/>
  <c r="FM4" i="32" a="1"/>
  <c r="FM4" i="32" s="1"/>
  <c r="FM3" i="32" a="1"/>
  <c r="FM3" i="32" s="1"/>
  <c r="FR2" i="32" a="1"/>
  <c r="FR2" i="32" s="1"/>
  <c r="FQ2" i="32" a="1"/>
  <c r="FQ2" i="32" s="1"/>
  <c r="FP2" i="32" a="1"/>
  <c r="FP2" i="32" s="1"/>
  <c r="FO2" i="32" a="1"/>
  <c r="FO2" i="32" s="1"/>
  <c r="FN2" i="32" a="1"/>
  <c r="FN2" i="32" s="1"/>
  <c r="FY2" i="32" a="1"/>
  <c r="FY2" i="32" s="1"/>
  <c r="FY6" i="32" a="1"/>
  <c r="FY6" i="32" s="1"/>
  <c r="FY5" i="32" a="1"/>
  <c r="FY5" i="32" s="1"/>
  <c r="FY4" i="32" a="1"/>
  <c r="FY4" i="32" s="1"/>
  <c r="FY3" i="32" a="1"/>
  <c r="FY3" i="32" s="1"/>
  <c r="GD2" i="32" a="1"/>
  <c r="GD2" i="32" s="1"/>
  <c r="FY7" i="32" a="1"/>
  <c r="FY7" i="32" s="1"/>
  <c r="GC2" i="32" a="1"/>
  <c r="GC2" i="32" s="1"/>
  <c r="GB2" i="32" a="1"/>
  <c r="GB2" i="32" s="1"/>
  <c r="GA2" i="32" a="1"/>
  <c r="GA2" i="32" s="1"/>
  <c r="FZ2" i="32" a="1"/>
  <c r="FZ2" i="32" s="1"/>
  <c r="H15" i="70" a="1"/>
  <c r="H15" i="70" s="1"/>
  <c r="P18" i="165" a="1"/>
  <c r="P18" i="165" s="1"/>
  <c r="N18" i="165" a="1"/>
  <c r="N18" i="165" s="1"/>
  <c r="H16" i="70" a="1"/>
  <c r="H16" i="70" s="1"/>
  <c r="G1" i="145" l="1"/>
  <c r="C6" i="139"/>
  <c r="A7" i="161"/>
  <c r="F51" i="2" l="1"/>
  <c r="D51" i="2" l="1"/>
  <c r="E51" i="2"/>
  <c r="G13" i="2"/>
  <c r="D21" i="2" l="1"/>
  <c r="D39" i="2"/>
  <c r="D20" i="2"/>
  <c r="D40" i="2"/>
  <c r="D19" i="2"/>
  <c r="D38" i="2"/>
  <c r="C17" i="1" l="1"/>
  <c r="I179" i="1" l="1"/>
  <c r="B179" i="1" s="1"/>
  <c r="I204" i="1"/>
  <c r="K204" i="1" s="1"/>
  <c r="I200" i="1"/>
  <c r="B200" i="1" s="1"/>
  <c r="I194" i="1"/>
  <c r="B194" i="1" s="1"/>
  <c r="I190" i="1"/>
  <c r="B190" i="1" s="1"/>
  <c r="I186" i="1"/>
  <c r="K186" i="1" s="1"/>
  <c r="I182" i="1"/>
  <c r="B182" i="1" s="1"/>
  <c r="I176" i="1"/>
  <c r="B176" i="1" s="1"/>
  <c r="I172" i="1"/>
  <c r="B172" i="1" s="1"/>
  <c r="I168" i="1"/>
  <c r="B168" i="1" s="1"/>
  <c r="I164" i="1"/>
  <c r="K164" i="1" s="1"/>
  <c r="I158" i="1"/>
  <c r="B158" i="1" s="1"/>
  <c r="I178" i="1"/>
  <c r="B178" i="1" s="1"/>
  <c r="I203" i="1"/>
  <c r="K203" i="1" s="1"/>
  <c r="I199" i="1"/>
  <c r="B199" i="1" s="1"/>
  <c r="I193" i="1"/>
  <c r="B193" i="1" s="1"/>
  <c r="I189" i="1"/>
  <c r="B189" i="1" s="1"/>
  <c r="I185" i="1"/>
  <c r="B185" i="1" s="1"/>
  <c r="I181" i="1"/>
  <c r="K181" i="1" s="1"/>
  <c r="I175" i="1"/>
  <c r="B175" i="1" s="1"/>
  <c r="I167" i="1"/>
  <c r="B167" i="1" s="1"/>
  <c r="I163" i="1"/>
  <c r="K163" i="1" s="1"/>
  <c r="I157" i="1"/>
  <c r="B157" i="1" s="1"/>
  <c r="I196" i="1"/>
  <c r="B196" i="1" s="1"/>
  <c r="I162" i="1"/>
  <c r="B162" i="1" s="1"/>
  <c r="I202" i="1"/>
  <c r="B202" i="1" s="1"/>
  <c r="I198" i="1"/>
  <c r="K198" i="1" s="1"/>
  <c r="I192" i="1"/>
  <c r="B192" i="1" s="1"/>
  <c r="I184" i="1"/>
  <c r="B184" i="1" s="1"/>
  <c r="I180" i="1"/>
  <c r="K180" i="1" s="1"/>
  <c r="I174" i="1"/>
  <c r="B174" i="1" s="1"/>
  <c r="I170" i="1"/>
  <c r="K170" i="1" s="1"/>
  <c r="I166" i="1"/>
  <c r="B166" i="1" s="1"/>
  <c r="I160" i="1"/>
  <c r="B160" i="1" s="1"/>
  <c r="I156" i="1"/>
  <c r="B156" i="1" s="1"/>
  <c r="I195" i="1"/>
  <c r="B195" i="1" s="1"/>
  <c r="I161" i="1"/>
  <c r="B161" i="1" s="1"/>
  <c r="I201" i="1"/>
  <c r="B201" i="1" s="1"/>
  <c r="I197" i="1"/>
  <c r="K197" i="1" s="1"/>
  <c r="I191" i="1"/>
  <c r="B191" i="1" s="1"/>
  <c r="I187" i="1"/>
  <c r="K187" i="1" s="1"/>
  <c r="I183" i="1"/>
  <c r="B183" i="1" s="1"/>
  <c r="I177" i="1"/>
  <c r="B177" i="1" s="1"/>
  <c r="I173" i="1"/>
  <c r="B173" i="1" s="1"/>
  <c r="I169" i="1"/>
  <c r="K169" i="1" s="1"/>
  <c r="I165" i="1"/>
  <c r="B165" i="1" s="1"/>
  <c r="I159" i="1"/>
  <c r="B159" i="1" s="1"/>
  <c r="I155" i="1"/>
  <c r="B155" i="1" s="1"/>
  <c r="I153" i="1"/>
  <c r="K153" i="1" s="1"/>
  <c r="I138" i="1"/>
  <c r="B138" i="1" s="1"/>
  <c r="I149" i="1"/>
  <c r="B149" i="1" s="1"/>
  <c r="I142" i="1"/>
  <c r="B142" i="1" s="1"/>
  <c r="I188" i="1"/>
  <c r="B188" i="1" s="1"/>
  <c r="I152" i="1"/>
  <c r="K152" i="1" s="1"/>
  <c r="I150" i="1"/>
  <c r="B150" i="1" s="1"/>
  <c r="I146" i="1"/>
  <c r="K146" i="1" s="1"/>
  <c r="I139" i="1"/>
  <c r="B139" i="1" s="1"/>
  <c r="I143" i="1"/>
  <c r="B143" i="1" s="1"/>
  <c r="I151" i="1"/>
  <c r="B151" i="1" s="1"/>
  <c r="I145" i="1"/>
  <c r="B145" i="1" s="1"/>
  <c r="I140" i="1"/>
  <c r="B140" i="1" s="1"/>
  <c r="I137" i="1"/>
  <c r="B137" i="1" s="1"/>
  <c r="I154" i="1"/>
  <c r="B154" i="1" s="1"/>
  <c r="I148" i="1"/>
  <c r="B148" i="1" s="1"/>
  <c r="I144" i="1"/>
  <c r="B144" i="1" s="1"/>
  <c r="I141" i="1"/>
  <c r="B141" i="1" s="1"/>
  <c r="I171" i="1"/>
  <c r="B171" i="1" s="1"/>
  <c r="I147" i="1"/>
  <c r="K147" i="1" s="1"/>
  <c r="C25" i="1"/>
  <c r="E148" i="1" l="1"/>
  <c r="D147" i="1"/>
  <c r="B170" i="1"/>
  <c r="D198" i="1"/>
  <c r="E199" i="1"/>
  <c r="E182" i="1"/>
  <c r="E165" i="1"/>
  <c r="D181" i="1"/>
  <c r="D164" i="1"/>
  <c r="B204" i="1"/>
  <c r="B153" i="1"/>
  <c r="B187" i="1"/>
  <c r="K1" i="125" l="1"/>
  <c r="B169" i="1"/>
  <c r="B181" i="1"/>
  <c r="B186" i="1"/>
  <c r="B203" i="1"/>
  <c r="B198" i="1"/>
  <c r="B152" i="1"/>
  <c r="B163" i="1"/>
  <c r="B197" i="1"/>
  <c r="B146" i="1"/>
  <c r="B180" i="1"/>
  <c r="B164" i="1"/>
  <c r="B147" i="1"/>
  <c r="O5" i="45" a="1"/>
  <c r="O5" i="45" s="1"/>
  <c r="S7" i="45" a="1"/>
  <c r="S7" i="45" s="1"/>
  <c r="Q6" i="45" a="1"/>
  <c r="Q6" i="45" s="1"/>
  <c r="P7" i="45" a="1"/>
  <c r="P7" i="45" s="1"/>
  <c r="O7" i="45" a="1"/>
  <c r="O7" i="45" s="1"/>
  <c r="M6" i="45" a="1"/>
  <c r="M6" i="45" s="1"/>
  <c r="P4" i="45" a="1"/>
  <c r="P4" i="45" s="1"/>
  <c r="N4" i="45" a="1"/>
  <c r="N4" i="45" s="1"/>
  <c r="S6" i="45" a="1"/>
  <c r="S6" i="45" s="1"/>
  <c r="R6" i="45" a="1"/>
  <c r="R6" i="45" s="1"/>
  <c r="L5" i="45" a="1"/>
  <c r="L5" i="45" s="1"/>
  <c r="O6" i="45" a="1"/>
  <c r="O6" i="45" s="1"/>
  <c r="N6" i="45" a="1"/>
  <c r="N6" i="45" s="1"/>
  <c r="M7" i="45" a="1"/>
  <c r="M7" i="45" s="1"/>
  <c r="Q4" i="45" a="1"/>
  <c r="Q4" i="45" s="1"/>
  <c r="M4" i="45" a="1"/>
  <c r="M4" i="45" s="1"/>
  <c r="P5" i="45" a="1"/>
  <c r="P5" i="45" s="1"/>
  <c r="R5" i="45" a="1"/>
  <c r="R5" i="45" s="1"/>
  <c r="Q5" i="45" a="1"/>
  <c r="Q5" i="45" s="1"/>
  <c r="Q7" i="45" a="1"/>
  <c r="Q7" i="45" s="1"/>
  <c r="N5" i="45" a="1"/>
  <c r="N5" i="45" s="1"/>
  <c r="M5" i="45" a="1"/>
  <c r="M5" i="45" s="1"/>
  <c r="L7" i="45" a="1"/>
  <c r="L7" i="45" s="1"/>
  <c r="S5" i="45" a="1"/>
  <c r="S5" i="45" s="1"/>
  <c r="P6" i="45" a="1"/>
  <c r="P6" i="45" s="1"/>
  <c r="S4" i="45" a="1"/>
  <c r="S4" i="45" s="1"/>
  <c r="R7" i="45" a="1"/>
  <c r="R7" i="45" s="1"/>
  <c r="L6" i="45" a="1"/>
  <c r="L6" i="45" s="1"/>
  <c r="R4" i="45" a="1"/>
  <c r="R4" i="45" s="1"/>
  <c r="N7" i="45" a="1"/>
  <c r="N7" i="45" s="1"/>
  <c r="O4" i="45" a="1"/>
  <c r="O4" i="45" s="1"/>
  <c r="L4" i="45" a="1"/>
  <c r="L4" i="45" s="1"/>
  <c r="CR2" i="32" l="1" a="1"/>
  <c r="CR2" i="32" s="1"/>
  <c r="AV6" i="32" a="1"/>
  <c r="AV6" i="32" s="1"/>
  <c r="AT5" i="32" a="1"/>
  <c r="AT5" i="32" s="1"/>
  <c r="BZ2" i="32" a="1"/>
  <c r="BZ2" i="32" s="1"/>
  <c r="CB2" i="32" a="1"/>
  <c r="CB2" i="32" s="1"/>
  <c r="AV5" i="32" a="1"/>
  <c r="AV5" i="32" s="1"/>
  <c r="CP2" i="32" a="1"/>
  <c r="CP2" i="32" s="1"/>
  <c r="AT6" i="32" a="1"/>
  <c r="AT6" i="32" s="1"/>
  <c r="CU2" i="32" a="1"/>
  <c r="CU2" i="32" s="1"/>
  <c r="AY6" i="32" a="1"/>
  <c r="AY6" i="32" s="1"/>
  <c r="AU7" i="32" a="1"/>
  <c r="AU7" i="32" s="1"/>
  <c r="DG2" i="32" a="1"/>
  <c r="DG2" i="32" s="1"/>
  <c r="AU5" i="32" a="1"/>
  <c r="AU5" i="32" s="1"/>
  <c r="CA2" i="32" a="1"/>
  <c r="CA2" i="32" s="1"/>
  <c r="AR6" i="32" a="1"/>
  <c r="AR6" i="32" s="1"/>
  <c r="CN2" i="32" a="1"/>
  <c r="CN2" i="32" s="1"/>
  <c r="AY5" i="32" a="1"/>
  <c r="AY5" i="32" s="1"/>
  <c r="CE2" i="32" a="1"/>
  <c r="CE2" i="32" s="1"/>
  <c r="AW7" i="32" a="1"/>
  <c r="AW7" i="32" s="1"/>
  <c r="DI2" i="32" a="1"/>
  <c r="DI2" i="32" s="1"/>
  <c r="AU6" i="32" a="1"/>
  <c r="AU6" i="32" s="1"/>
  <c r="CQ2" i="32" a="1"/>
  <c r="CQ2" i="32" s="1"/>
  <c r="DH2" i="32" a="1"/>
  <c r="DH2" i="32" s="1"/>
  <c r="AV7" i="32" a="1"/>
  <c r="AV7" i="32" s="1"/>
  <c r="DJ2" i="32" a="1"/>
  <c r="DJ2" i="32" s="1"/>
  <c r="AX7" i="32" a="1"/>
  <c r="AX7" i="32" s="1"/>
  <c r="DD2" i="32" a="1"/>
  <c r="DD2" i="32" s="1"/>
  <c r="AR7" i="32" a="1"/>
  <c r="AR7" i="32" s="1"/>
  <c r="CC2" i="32" a="1"/>
  <c r="CC2" i="32" s="1"/>
  <c r="AW5" i="32" a="1"/>
  <c r="AW5" i="32" s="1"/>
  <c r="AR5" i="32" a="1"/>
  <c r="AR5" i="32" s="1"/>
  <c r="BX2" i="32" a="1"/>
  <c r="BX2" i="32" s="1"/>
  <c r="CS2" i="32" a="1"/>
  <c r="CS2" i="32" s="1"/>
  <c r="AW6" i="32" a="1"/>
  <c r="AW6" i="32" s="1"/>
  <c r="DF2" i="32" a="1"/>
  <c r="DF2" i="32" s="1"/>
  <c r="AT7" i="32" a="1"/>
  <c r="AT7" i="32" s="1"/>
  <c r="AS5" i="32" a="1"/>
  <c r="AS5" i="32" s="1"/>
  <c r="BY2" i="32" a="1"/>
  <c r="BY2" i="32" s="1"/>
  <c r="CD2" i="32" a="1"/>
  <c r="CD2" i="32" s="1"/>
  <c r="AX5" i="32" a="1"/>
  <c r="AX5" i="32" s="1"/>
  <c r="AS7" i="32" a="1"/>
  <c r="AS7" i="32" s="1"/>
  <c r="DE2" i="32" a="1"/>
  <c r="DE2" i="32" s="1"/>
  <c r="CT2" i="32" a="1"/>
  <c r="CT2" i="32" s="1"/>
  <c r="AX6" i="32" a="1"/>
  <c r="AX6" i="32" s="1"/>
  <c r="AS6" i="32" a="1"/>
  <c r="AS6" i="32" s="1"/>
  <c r="CO2" i="32" a="1"/>
  <c r="CO2" i="32" s="1"/>
  <c r="DK2" i="32" a="1"/>
  <c r="DK2" i="32" s="1"/>
  <c r="AY7" i="32" a="1"/>
  <c r="AY7" i="32" s="1"/>
  <c r="BN2" i="32" a="1"/>
  <c r="BN2" i="32" s="1"/>
  <c r="AX4" i="32" a="1"/>
  <c r="AX4" i="32" s="1"/>
  <c r="AR4" i="32" a="1"/>
  <c r="AR4" i="32" s="1"/>
  <c r="BH2" i="32" a="1"/>
  <c r="BH2" i="32" s="1"/>
  <c r="AS4" i="32" a="1"/>
  <c r="AS4" i="32" s="1"/>
  <c r="BI2" i="32" a="1"/>
  <c r="BI2" i="32" s="1"/>
  <c r="BJ2" i="32" a="1"/>
  <c r="BJ2" i="32" s="1"/>
  <c r="AT4" i="32" a="1"/>
  <c r="AT4" i="32" s="1"/>
  <c r="AU4" i="32" a="1"/>
  <c r="AU4" i="32" s="1"/>
  <c r="BK2" i="32" a="1"/>
  <c r="BK2" i="32" s="1"/>
  <c r="AW4" i="32" a="1"/>
  <c r="AW4" i="32" s="1"/>
  <c r="BM2" i="32" a="1"/>
  <c r="BM2" i="32" s="1"/>
  <c r="AV4" i="32" a="1"/>
  <c r="AV4" i="32" s="1"/>
  <c r="BL2" i="32" a="1"/>
  <c r="BL2" i="32" s="1"/>
  <c r="BO2" i="32" a="1"/>
  <c r="BO2" i="32" s="1"/>
  <c r="AY4" i="32" a="1"/>
  <c r="AY4" i="32" s="1"/>
  <c r="C5" i="139"/>
  <c r="A2" i="161"/>
  <c r="A4" i="90" l="1"/>
  <c r="A4" i="89"/>
  <c r="A6" i="90"/>
  <c r="C68" i="1" l="1"/>
  <c r="L23" i="1" l="1"/>
  <c r="C23" i="1" l="1"/>
  <c r="N19" i="165" l="1" a="1"/>
  <c r="N19" i="165" s="1"/>
  <c r="P19" i="165" a="1"/>
  <c r="P19" i="165" s="1"/>
  <c r="A18" i="165" l="1"/>
  <c r="A1" i="130" a="1"/>
  <c r="A1" i="130" s="1"/>
  <c r="A1" i="145" a="1"/>
  <c r="A1" i="145" s="1"/>
  <c r="A1" i="135" a="1"/>
  <c r="A1" i="135" s="1"/>
  <c r="A1" i="132" a="1"/>
  <c r="A1" i="132" s="1"/>
  <c r="A1" i="90" a="1"/>
  <c r="A1" i="90" s="1"/>
  <c r="A1" i="131" a="1"/>
  <c r="A1" i="131" s="1"/>
  <c r="A1" i="125" a="1"/>
  <c r="A1" i="125" s="1"/>
  <c r="A1" i="128" a="1"/>
  <c r="A1" i="128" s="1"/>
  <c r="A1" i="143" a="1"/>
  <c r="A1" i="143" s="1"/>
  <c r="A1" i="89" a="1"/>
  <c r="A1" i="89" s="1"/>
  <c r="A1" i="136" a="1"/>
  <c r="A1" i="136" s="1"/>
  <c r="A1" i="133" a="1"/>
  <c r="A1" i="133" s="1"/>
  <c r="E5" i="2" l="1"/>
  <c r="E9" i="2"/>
  <c r="E14" i="2" l="1"/>
  <c r="C96" i="1"/>
  <c r="L38" i="1"/>
  <c r="C38" i="1" l="1"/>
  <c r="DS6" i="32"/>
  <c r="DS2" i="32"/>
  <c r="DS5" i="32"/>
  <c r="DS7" i="32"/>
  <c r="DS3" i="32"/>
  <c r="DS4" i="32"/>
  <c r="C43" i="1"/>
  <c r="C42" i="1"/>
  <c r="C51" i="1"/>
  <c r="D46" i="2" l="1"/>
  <c r="E46" i="2"/>
  <c r="E48" i="2" l="1"/>
  <c r="D16" i="2"/>
  <c r="E16" i="2"/>
  <c r="E15" i="2" l="1"/>
  <c r="D15" i="2"/>
  <c r="D44" i="2" l="1"/>
  <c r="E44" i="2"/>
  <c r="E45" i="2" l="1"/>
  <c r="D45" i="2"/>
  <c r="L41" i="1" l="1"/>
  <c r="DU7" i="32" l="1"/>
  <c r="DU3" i="32"/>
  <c r="DU2" i="32"/>
  <c r="DU4" i="32"/>
  <c r="DU5" i="32"/>
  <c r="DU6" i="32"/>
  <c r="N1" i="1"/>
  <c r="E35" i="2" l="1"/>
  <c r="D35" i="2"/>
  <c r="E34" i="2"/>
  <c r="D34" i="2"/>
  <c r="E39" i="2" l="1"/>
  <c r="E19" i="2"/>
  <c r="E38" i="2"/>
  <c r="E40" i="2"/>
  <c r="E20" i="2"/>
  <c r="E21" i="2"/>
  <c r="D7" i="2" l="1"/>
  <c r="E7" i="2"/>
  <c r="D6" i="2"/>
  <c r="E6" i="2"/>
  <c r="D48" i="2" l="1"/>
  <c r="K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<sst xmlns="http://schemas.openxmlformats.org/spreadsheetml/2006/main" count="9337" uniqueCount="2733">
  <si>
    <t>Project title</t>
  </si>
  <si>
    <t>Form of Contract</t>
  </si>
  <si>
    <t>Works, services or supplies</t>
  </si>
  <si>
    <t>Contract Duration (minimum)</t>
  </si>
  <si>
    <t>Contract Duration (maximum)</t>
  </si>
  <si>
    <t>Annually renewable basis</t>
  </si>
  <si>
    <t>Contract area</t>
  </si>
  <si>
    <t>Client (full name)</t>
  </si>
  <si>
    <t>Registered address</t>
  </si>
  <si>
    <t>Client (abbreviation, if applicable)</t>
  </si>
  <si>
    <t>Return date</t>
  </si>
  <si>
    <t>Issue date</t>
  </si>
  <si>
    <t>Clarification deadline</t>
  </si>
  <si>
    <t>Lots</t>
  </si>
  <si>
    <t>Price split</t>
  </si>
  <si>
    <t>Leaseholders</t>
  </si>
  <si>
    <t>Contract award published</t>
  </si>
  <si>
    <t>Contract commencement date</t>
  </si>
  <si>
    <t>Query</t>
  </si>
  <si>
    <t>Response</t>
  </si>
  <si>
    <t>Title</t>
  </si>
  <si>
    <t>Date</t>
  </si>
  <si>
    <t>Insurance value - Employers</t>
  </si>
  <si>
    <t>Insurance value - PI</t>
  </si>
  <si>
    <t>N/A</t>
  </si>
  <si>
    <t>contract</t>
  </si>
  <si>
    <t>ACA Standard Form of Contract for Term Partnering (TPC 2005 – Amended 2008) published by The Association of Consultant Architects Ltd.  (ACA)</t>
  </si>
  <si>
    <t>Evaluation start</t>
  </si>
  <si>
    <t>Evaluation end</t>
  </si>
  <si>
    <t>Client_Name</t>
  </si>
  <si>
    <t>Client</t>
  </si>
  <si>
    <t>Project_Title</t>
  </si>
  <si>
    <t>Registered_address</t>
  </si>
  <si>
    <t>Contract_area</t>
  </si>
  <si>
    <t>works_service_supplies</t>
  </si>
  <si>
    <t>contract_or_fw</t>
  </si>
  <si>
    <t>No_of_Lots</t>
  </si>
  <si>
    <t>max_contracts</t>
  </si>
  <si>
    <t>form_of_contract</t>
  </si>
  <si>
    <t>min_duration</t>
  </si>
  <si>
    <t>max_duration</t>
  </si>
  <si>
    <t>Tupe</t>
  </si>
  <si>
    <t>Tupe_info</t>
  </si>
  <si>
    <t>Insurance_Employers</t>
  </si>
  <si>
    <t>Insurance_third</t>
  </si>
  <si>
    <t>Insurance_PI</t>
  </si>
  <si>
    <t>Clarification_deadline</t>
  </si>
  <si>
    <t>Return_date</t>
  </si>
  <si>
    <t>Feedback issue</t>
  </si>
  <si>
    <t>Contract_award</t>
  </si>
  <si>
    <t>Contract_commences</t>
  </si>
  <si>
    <t>SP_or_Contractor</t>
  </si>
  <si>
    <t>Job Number</t>
  </si>
  <si>
    <t>Job_No</t>
  </si>
  <si>
    <t>Number</t>
  </si>
  <si>
    <t>Text</t>
  </si>
  <si>
    <t>one</t>
  </si>
  <si>
    <t>two</t>
  </si>
  <si>
    <t>three</t>
  </si>
  <si>
    <t>four</t>
  </si>
  <si>
    <t>five</t>
  </si>
  <si>
    <t>six</t>
  </si>
  <si>
    <t>seven</t>
  </si>
  <si>
    <t>eight</t>
  </si>
  <si>
    <t>nine</t>
  </si>
  <si>
    <t>Contract, Framework, etc.</t>
  </si>
  <si>
    <t>contracts</t>
  </si>
  <si>
    <t>framework agreement</t>
  </si>
  <si>
    <t>framework agreements</t>
  </si>
  <si>
    <t>Joint Venture</t>
  </si>
  <si>
    <t>Joint Ventures</t>
  </si>
  <si>
    <t>Direct Labour Organisation</t>
  </si>
  <si>
    <t>Direct Labour Organisations</t>
  </si>
  <si>
    <t>Wholly Own Subsidiary</t>
  </si>
  <si>
    <t>Wholly Own Subsidiaries</t>
  </si>
  <si>
    <t>Partnering</t>
  </si>
  <si>
    <t>JCT</t>
  </si>
  <si>
    <t>If other, please change option to "Other (please provide info)"</t>
  </si>
  <si>
    <t>NEC3 Adjudicator's Contract as published by NEC3</t>
  </si>
  <si>
    <t>NEC3 Engineering and Construction Contract as published by NEC3</t>
  </si>
  <si>
    <t>NEC3 Framework Contract as published by NEC3</t>
  </si>
  <si>
    <t>NEC3 Professional Services Contract as published by NEC3</t>
  </si>
  <si>
    <t>NEC3 Supply Contract as published by NEC3</t>
  </si>
  <si>
    <t>NEC3 Term Service Contract as published by NEC3</t>
  </si>
  <si>
    <t>NEC3_Contract</t>
  </si>
  <si>
    <t>Document author</t>
  </si>
  <si>
    <t>Author</t>
  </si>
  <si>
    <t>Owner</t>
  </si>
  <si>
    <t>Shade</t>
  </si>
  <si>
    <t>Check List</t>
  </si>
  <si>
    <t>Ref</t>
  </si>
  <si>
    <t>Description</t>
  </si>
  <si>
    <t>First Uplift date</t>
  </si>
  <si>
    <t>Uplift_date</t>
  </si>
  <si>
    <t>Return time</t>
  </si>
  <si>
    <t>Grounds for discretionary exclusion</t>
  </si>
  <si>
    <t>Technical split</t>
  </si>
  <si>
    <t>CA_or_CR full</t>
  </si>
  <si>
    <t>max_extension</t>
  </si>
  <si>
    <t>Day of the Week</t>
  </si>
  <si>
    <t>ESP?</t>
  </si>
  <si>
    <t>Uplift_Type</t>
  </si>
  <si>
    <t>Scoring methodology</t>
  </si>
  <si>
    <t>Return_time</t>
  </si>
  <si>
    <t>Marks</t>
  </si>
  <si>
    <t>Comments</t>
  </si>
  <si>
    <t>Project information</t>
  </si>
  <si>
    <t>Number of lots</t>
  </si>
  <si>
    <t>Type of contract</t>
  </si>
  <si>
    <t>Is the above no. approximate or exact?</t>
  </si>
  <si>
    <t>Does this procurement affect leaseholders?</t>
  </si>
  <si>
    <t>Evaluation criteria</t>
  </si>
  <si>
    <t>Property information and leaseholders</t>
  </si>
  <si>
    <t>Contract and information</t>
  </si>
  <si>
    <t>What index will be used for the uplift?</t>
  </si>
  <si>
    <t>Does TUPE apply?</t>
  </si>
  <si>
    <t>Will a TUPE list be provided?</t>
  </si>
  <si>
    <t>Project Owner</t>
  </si>
  <si>
    <t>ten</t>
  </si>
  <si>
    <t>Contract dates</t>
  </si>
  <si>
    <t xml:space="preserve">The response to </t>
  </si>
  <si>
    <t>CA_or_CR</t>
  </si>
  <si>
    <t>Description of works/services/supplies</t>
  </si>
  <si>
    <t>Duration_type</t>
  </si>
  <si>
    <t>Duration unit of measure</t>
  </si>
  <si>
    <t>Annual value (maximum)</t>
  </si>
  <si>
    <t>Annual value (minimum)</t>
  </si>
  <si>
    <t>Is this opportunity being advertised?</t>
  </si>
  <si>
    <t>S20/Preferred bidder issue</t>
  </si>
  <si>
    <t>Observation period complete</t>
  </si>
  <si>
    <t>Q.</t>
  </si>
  <si>
    <t>Your submission must include the following:</t>
  </si>
  <si>
    <t>The client reserves the right to reject any tender that does not comply with these requirements.</t>
  </si>
  <si>
    <t>Report to client</t>
  </si>
  <si>
    <t>RIBA</t>
  </si>
  <si>
    <t>RIBA Standard Agreement 2010 (2012 revision): Architect</t>
  </si>
  <si>
    <t>RIBA Standard Agreement 2010 (2012 revision): Consultant</t>
  </si>
  <si>
    <t>RIBA Concise Agreement 2010 (2012 revision): Architect</t>
  </si>
  <si>
    <t>RIBA Concise Agreement 2010 (2012 revision): Consultant</t>
  </si>
  <si>
    <t>RIBA Sub-consultant Agreement 2010 (2012 revision)</t>
  </si>
  <si>
    <t>https://www.gov.uk/government/uploads/system/uploads/attachment_data/file/551130/List_of_Mandatory_and_Discretionary_Exclusions.pdf</t>
  </si>
  <si>
    <t>Procedure type</t>
  </si>
  <si>
    <t>Procedure</t>
  </si>
  <si>
    <t>Part 1</t>
  </si>
  <si>
    <t>Part 2</t>
  </si>
  <si>
    <t>Part 3</t>
  </si>
  <si>
    <t>Question</t>
  </si>
  <si>
    <t>See EU definition of SME:</t>
  </si>
  <si>
    <t>Name</t>
  </si>
  <si>
    <t>I am aware of the consequences of serious misrepresentation.</t>
  </si>
  <si>
    <t>Section 1</t>
  </si>
  <si>
    <t>Complete?</t>
  </si>
  <si>
    <t>Not used</t>
  </si>
  <si>
    <t>Q6.4</t>
  </si>
  <si>
    <t>Q6.4.1</t>
  </si>
  <si>
    <t>Q6.4.2</t>
  </si>
  <si>
    <t>Q6.4.3</t>
  </si>
  <si>
    <t>Q6.4.4</t>
  </si>
  <si>
    <t>Q6.4.5</t>
  </si>
  <si>
    <t>Q6.4.6</t>
  </si>
  <si>
    <t>Q6.4.7</t>
  </si>
  <si>
    <t>Q6.4.8</t>
  </si>
  <si>
    <t>Q6.4.9</t>
  </si>
  <si>
    <t>Q6.4.10</t>
  </si>
  <si>
    <t>Q6.5</t>
  </si>
  <si>
    <t>Q6.5.1</t>
  </si>
  <si>
    <t>Q6.5.2</t>
  </si>
  <si>
    <t>Q6.5.3</t>
  </si>
  <si>
    <t>Q6.5.4</t>
  </si>
  <si>
    <t>Q6.5.5</t>
  </si>
  <si>
    <t>Q6.5.6</t>
  </si>
  <si>
    <t>Q6.5.7</t>
  </si>
  <si>
    <t>Q6.5.8</t>
  </si>
  <si>
    <t>Q6.5.9</t>
  </si>
  <si>
    <t>Q6.5.10</t>
  </si>
  <si>
    <t>Q6.6</t>
  </si>
  <si>
    <t>Q6.6.1</t>
  </si>
  <si>
    <t>Q6.6.2</t>
  </si>
  <si>
    <t>Q6.6.3</t>
  </si>
  <si>
    <t>Q6.6.6</t>
  </si>
  <si>
    <t>Q6.6.7</t>
  </si>
  <si>
    <t>Q6.6.8</t>
  </si>
  <si>
    <t>Q6.6.9</t>
  </si>
  <si>
    <t>Q6.6.10</t>
  </si>
  <si>
    <t>Q6.7</t>
  </si>
  <si>
    <t>Q6.7.1</t>
  </si>
  <si>
    <t>Q6.7.2</t>
  </si>
  <si>
    <t>Q6.7.3</t>
  </si>
  <si>
    <t>Q6.7.4</t>
  </si>
  <si>
    <t>Q6.7.5</t>
  </si>
  <si>
    <t>Q6.7.6</t>
  </si>
  <si>
    <t>Q6.7.7</t>
  </si>
  <si>
    <t>Q6.7.8</t>
  </si>
  <si>
    <t>Q6.7.9</t>
  </si>
  <si>
    <t>Q6.7.10</t>
  </si>
  <si>
    <t>Q6.8</t>
  </si>
  <si>
    <t>Q6.8.1</t>
  </si>
  <si>
    <t>Q6.8.2</t>
  </si>
  <si>
    <t>Q6.8.3</t>
  </si>
  <si>
    <t>Q6.8.4</t>
  </si>
  <si>
    <t>Q6.8.5</t>
  </si>
  <si>
    <t>Q6.8.6</t>
  </si>
  <si>
    <t>Q6.8.7</t>
  </si>
  <si>
    <t>Q6.8.8</t>
  </si>
  <si>
    <t>Q6.8.9</t>
  </si>
  <si>
    <t>Q6.8.10</t>
  </si>
  <si>
    <t>Q6.6.4</t>
  </si>
  <si>
    <t>Q6.6.5</t>
  </si>
  <si>
    <t>Less than £10 million</t>
  </si>
  <si>
    <t>Greater than £10 million (with a duration of less than 12 months)</t>
  </si>
  <si>
    <t>Greater than £10 million (with a duration of more than 12 months)</t>
  </si>
  <si>
    <t>Greater than £20 million (with a duration of less than 12 months)</t>
  </si>
  <si>
    <t>Greater than £20 million (with a duration of more than 12 months)</t>
  </si>
  <si>
    <t>Section not applicable</t>
  </si>
  <si>
    <t>1_3_Name</t>
  </si>
  <si>
    <t>1_3_Phone</t>
  </si>
  <si>
    <t>1_3_E-mail</t>
  </si>
  <si>
    <t>1_1_Tenderer</t>
  </si>
  <si>
    <t xml:space="preserve">Note:  </t>
  </si>
  <si>
    <t>Enclosed?</t>
  </si>
  <si>
    <t>Q6.1</t>
  </si>
  <si>
    <t>Q6.1.1</t>
  </si>
  <si>
    <t>Q6.1.2</t>
  </si>
  <si>
    <t>Q6.1.3</t>
  </si>
  <si>
    <t>Q6.2</t>
  </si>
  <si>
    <t>Q6.3</t>
  </si>
  <si>
    <t xml:space="preserve">Please provide details of up to three contracts, in any combination from either the public or private sector; voluntary, charity or social enterprise (VCSE) that are relevant to our requirement. VCSEs may include samples of grant-funded work.  </t>
  </si>
  <si>
    <t xml:space="preserve">Details and brief description of the </t>
  </si>
  <si>
    <t xml:space="preserve"> delivered including evidence as to your technical capability in this market</t>
  </si>
  <si>
    <t>ITT_Min</t>
  </si>
  <si>
    <t>Please also refer to the guidance provided on the contents page to ensure all tabs have been completed before submitting.</t>
  </si>
  <si>
    <t>ITT_Max</t>
  </si>
  <si>
    <t>JCT Minor Works Building Contract (2016) published by The Joint Contracts Tribunal (JCT)</t>
  </si>
  <si>
    <t>JCT Design and Build Contract (2016) published by The Joint Contracts Tribunal (JCT)</t>
  </si>
  <si>
    <t>JCT Intermediate Building Contract (2016) published by The Joint Contracts Tribunal (JCT)</t>
  </si>
  <si>
    <t>JCT Intermediate Building Contract with contractor's design (2016) published by The Joint Contracts Tribunal (JCT)</t>
  </si>
  <si>
    <t>JCT Minor Works Building Contract with contractor's design (2016) published by The Joint Contracts Tribunal (JCT)</t>
  </si>
  <si>
    <t>JCT Standard Building Contract (2016) published by The Joint Contracts Tribunal (JCT)</t>
  </si>
  <si>
    <t>1_3_Address_1</t>
  </si>
  <si>
    <t>1_3_Address_2</t>
  </si>
  <si>
    <t>1_3_Address_3</t>
  </si>
  <si>
    <t>1_3_Address_4</t>
  </si>
  <si>
    <t>1_3_Address_5</t>
  </si>
  <si>
    <t>SQ dates</t>
  </si>
  <si>
    <t>SQ Issue date</t>
  </si>
  <si>
    <t>SQ Clarification deadline</t>
  </si>
  <si>
    <t>SQ Return date</t>
  </si>
  <si>
    <t>SQ Return time</t>
  </si>
  <si>
    <t>SQ Evaluation start</t>
  </si>
  <si>
    <t>SQ Evaluation end</t>
  </si>
  <si>
    <t>SQ Report to client</t>
  </si>
  <si>
    <t>SQ Feedback issue</t>
  </si>
  <si>
    <t>Maximum marks available</t>
  </si>
  <si>
    <t>JCT Measured Term Contract (2016) published by The Joint Contracts Tribunal (JCT)</t>
  </si>
  <si>
    <t>JCT Framework Agreement (2016) published by The Joint Contracts Tribunal (JCT)</t>
  </si>
  <si>
    <t>JCT Major Project Construction Contract (2016) published by The Joint Contracts Tribunal (JCT)</t>
  </si>
  <si>
    <t>JCT Management Building Contract (2016) published by The Joint Contracts Tribunal (JCT)</t>
  </si>
  <si>
    <t>JCT Prime Cost Building Contract (2016) published by The Joint Contracts Tribunal (JCT)</t>
  </si>
  <si>
    <t>JCT Repair and Maintenance Contract (2016) published by The Joint Contracts Tribunal (JCT)</t>
  </si>
  <si>
    <t>JCT-CE Contract (2016) published by The Joint Contracts Tribunal (JCT)</t>
  </si>
  <si>
    <t>JCT Construction Management Contract (2016) published by The Joint Contracts Tribunal (JCT)</t>
  </si>
  <si>
    <t>Q6.9</t>
  </si>
  <si>
    <t>Q6.9.1</t>
  </si>
  <si>
    <t>Q6.9.2</t>
  </si>
  <si>
    <t>Q6.9.3</t>
  </si>
  <si>
    <t>Q6.9.4</t>
  </si>
  <si>
    <t>Q6.9.5</t>
  </si>
  <si>
    <t>Q6.9.6</t>
  </si>
  <si>
    <t>Q6.9.7</t>
  </si>
  <si>
    <t>Q6.9.8</t>
  </si>
  <si>
    <t>Q6.9.9</t>
  </si>
  <si>
    <t>Q6.9.10</t>
  </si>
  <si>
    <t>Q6.10</t>
  </si>
  <si>
    <t>Q6.10.1</t>
  </si>
  <si>
    <t>Q6.10.2</t>
  </si>
  <si>
    <t>Q6.10.3</t>
  </si>
  <si>
    <t>Q6.10.4</t>
  </si>
  <si>
    <t>Q6.10.5</t>
  </si>
  <si>
    <t>Q6.10.6</t>
  </si>
  <si>
    <t>Q6.10.7</t>
  </si>
  <si>
    <t>Q6.10.8</t>
  </si>
  <si>
    <t>Q6.10.9</t>
  </si>
  <si>
    <t>Q6.10.10</t>
  </si>
  <si>
    <t>Q6.11</t>
  </si>
  <si>
    <t>Q6.11.1</t>
  </si>
  <si>
    <t>Q6.11.2</t>
  </si>
  <si>
    <t>Q6.11.3</t>
  </si>
  <si>
    <t>Q6.11.4</t>
  </si>
  <si>
    <t>Q6.11.5</t>
  </si>
  <si>
    <t>Q6.11.6</t>
  </si>
  <si>
    <t>Q6.11.7</t>
  </si>
  <si>
    <t>Q6.11.8</t>
  </si>
  <si>
    <t>Q6.11.9</t>
  </si>
  <si>
    <t>Q6.11.10</t>
  </si>
  <si>
    <t>Q6.12</t>
  </si>
  <si>
    <t>Q6.12.1</t>
  </si>
  <si>
    <t>Q6.12.2</t>
  </si>
  <si>
    <t>Q6.12.3</t>
  </si>
  <si>
    <t>Q6.12.4</t>
  </si>
  <si>
    <t>Q6.12.5</t>
  </si>
  <si>
    <t>Q6.12.6</t>
  </si>
  <si>
    <t>Q6.12.7</t>
  </si>
  <si>
    <t>Q6.12.8</t>
  </si>
  <si>
    <t>Q6.12.9</t>
  </si>
  <si>
    <t>Q6.12.10</t>
  </si>
  <si>
    <t>Q6.13</t>
  </si>
  <si>
    <t>Q6.13.1</t>
  </si>
  <si>
    <t>Q6.13.2</t>
  </si>
  <si>
    <t>Q6.13.3</t>
  </si>
  <si>
    <t>Q6.13.4</t>
  </si>
  <si>
    <t>Q6.13.5</t>
  </si>
  <si>
    <t>Q6.13.6</t>
  </si>
  <si>
    <t>Q6.13.7</t>
  </si>
  <si>
    <t>Q6.13.8</t>
  </si>
  <si>
    <t>Q6.13.9</t>
  </si>
  <si>
    <t>Q6.13.10</t>
  </si>
  <si>
    <r>
      <rPr>
        <b/>
        <sz val="10"/>
        <color theme="1"/>
        <rFont val="Arial"/>
        <family val="2"/>
      </rPr>
      <t>This document:</t>
    </r>
    <r>
      <rPr>
        <sz val="10"/>
        <color theme="1"/>
        <rFont val="Arial"/>
        <family val="2"/>
      </rPr>
      <t xml:space="preserve">  With all green cells fully completed and submitted in Excel.</t>
    </r>
  </si>
  <si>
    <t>Feedback</t>
  </si>
  <si>
    <t>Division into lots</t>
  </si>
  <si>
    <t>Annual value type</t>
  </si>
  <si>
    <t>No</t>
  </si>
  <si>
    <t>SQ_Clarification_deadline</t>
  </si>
  <si>
    <t>SQ_Return_date</t>
  </si>
  <si>
    <t>SQ_Return_time</t>
  </si>
  <si>
    <t>Include?</t>
  </si>
  <si>
    <t>Value_type</t>
  </si>
  <si>
    <t>Value_Max</t>
  </si>
  <si>
    <t>Value_Min</t>
  </si>
  <si>
    <t>Cons_Min</t>
  </si>
  <si>
    <t>Cons_Max</t>
  </si>
  <si>
    <t>Type</t>
  </si>
  <si>
    <t>Overview</t>
  </si>
  <si>
    <t>Sub-question</t>
  </si>
  <si>
    <t>No.subs</t>
  </si>
  <si>
    <t>Max score</t>
  </si>
  <si>
    <t>Word limit</t>
  </si>
  <si>
    <t>App_pages</t>
  </si>
  <si>
    <t>Q_No</t>
  </si>
  <si>
    <t>App_sub-qs</t>
  </si>
  <si>
    <t>Total</t>
  </si>
  <si>
    <t>Lot 1</t>
  </si>
  <si>
    <t>Lot 2</t>
  </si>
  <si>
    <t>Lot 3</t>
  </si>
  <si>
    <t>Lot 4</t>
  </si>
  <si>
    <t>Lot 5</t>
  </si>
  <si>
    <t>Lot</t>
  </si>
  <si>
    <t>Lot_1</t>
  </si>
  <si>
    <t xml:space="preserve"> should have a word count of not more than </t>
  </si>
  <si>
    <t>Details</t>
  </si>
  <si>
    <t>Lot_2</t>
  </si>
  <si>
    <t>Lot_5</t>
  </si>
  <si>
    <t>Lot_4</t>
  </si>
  <si>
    <t>Lot_3</t>
  </si>
  <si>
    <t>Lot_1_Name</t>
  </si>
  <si>
    <t>Lot_1_Description</t>
  </si>
  <si>
    <t>Lot_1_Props</t>
  </si>
  <si>
    <t>Lot_1_Value_type</t>
  </si>
  <si>
    <t>Lot_1_Value_Max</t>
  </si>
  <si>
    <t>Lot_1_Value_Min</t>
  </si>
  <si>
    <t>Lot_1_Cons_Min</t>
  </si>
  <si>
    <t>Lot_1_Cons_Max</t>
  </si>
  <si>
    <t>Lot_2_Name</t>
  </si>
  <si>
    <t>Lot_2_Description</t>
  </si>
  <si>
    <t>Lot_2_Props</t>
  </si>
  <si>
    <t>Lot_2_Value_type</t>
  </si>
  <si>
    <t>Lot_2_Value_Max</t>
  </si>
  <si>
    <t>Lot_2_Value_Min</t>
  </si>
  <si>
    <t>Lot_2_Cons_Min</t>
  </si>
  <si>
    <t>Lot_2_Cons_Max</t>
  </si>
  <si>
    <t>Lot_3_Name</t>
  </si>
  <si>
    <t>Lot_3_Description</t>
  </si>
  <si>
    <t>Lot_3_Props</t>
  </si>
  <si>
    <t>Lot_3_Value_type</t>
  </si>
  <si>
    <t>Lot_3_Value_Max</t>
  </si>
  <si>
    <t>Lot_3_Value_Min</t>
  </si>
  <si>
    <t>Lot_3_Cons_Min</t>
  </si>
  <si>
    <t>Lot_3_Cons_Max</t>
  </si>
  <si>
    <t>Lot_4_Name</t>
  </si>
  <si>
    <t>Lot_4_Description</t>
  </si>
  <si>
    <t>Lot_4_Props</t>
  </si>
  <si>
    <t>Lot_4_Value_type</t>
  </si>
  <si>
    <t>Lot_4_Value_Max</t>
  </si>
  <si>
    <t>Lot_4_Value_Min</t>
  </si>
  <si>
    <t>Lot_4_Cons_Min</t>
  </si>
  <si>
    <t>Lot_4_Cons_Max</t>
  </si>
  <si>
    <t>Lot_5_Name</t>
  </si>
  <si>
    <t>Lot_5_Description</t>
  </si>
  <si>
    <t>Lot_5_Props</t>
  </si>
  <si>
    <t>Lot_5_Value_type</t>
  </si>
  <si>
    <t>Lot_5_Value_Max</t>
  </si>
  <si>
    <t>Lot_5_Value_Min</t>
  </si>
  <si>
    <t>Lot_5_Cons_Min</t>
  </si>
  <si>
    <t>Lot_5_Cons_Max</t>
  </si>
  <si>
    <t>Weighted questions?</t>
  </si>
  <si>
    <t>Weighting</t>
  </si>
  <si>
    <t>Q.no</t>
  </si>
  <si>
    <t>Max marks</t>
  </si>
  <si>
    <t>Total:</t>
  </si>
  <si>
    <t>Max_Award</t>
  </si>
  <si>
    <t>Will the client undertake a financial evaluation?</t>
  </si>
  <si>
    <t>Fin_Check</t>
  </si>
  <si>
    <t>Financial requirements</t>
  </si>
  <si>
    <t>Job_Title</t>
  </si>
  <si>
    <t>Emma Pell</t>
  </si>
  <si>
    <t>Procurement Manager</t>
  </si>
  <si>
    <t>Fran Wright</t>
  </si>
  <si>
    <t>Technical Administrator</t>
  </si>
  <si>
    <t>Associate</t>
  </si>
  <si>
    <t>Julie Watts</t>
  </si>
  <si>
    <t>Karen Weeks</t>
  </si>
  <si>
    <t>Lee Maskell</t>
  </si>
  <si>
    <t>Equity Partner</t>
  </si>
  <si>
    <t>Lynn Bekir</t>
  </si>
  <si>
    <t>Paul Smith</t>
  </si>
  <si>
    <t>Senior Associate</t>
  </si>
  <si>
    <t>Sharline Peters</t>
  </si>
  <si>
    <t>Activity</t>
  </si>
  <si>
    <t>Date Completed</t>
  </si>
  <si>
    <t>Comments / Revisons made</t>
  </si>
  <si>
    <t>Name_Check</t>
  </si>
  <si>
    <t>Date_Check</t>
  </si>
  <si>
    <t>Set up spreadsheet</t>
  </si>
  <si>
    <t>Check spreadsheet</t>
  </si>
  <si>
    <t>Made revision A</t>
  </si>
  <si>
    <t>Checked revision A</t>
  </si>
  <si>
    <t>Made revision B</t>
  </si>
  <si>
    <t>Checked revision B</t>
  </si>
  <si>
    <t>Made revision C</t>
  </si>
  <si>
    <t>Checked revision C</t>
  </si>
  <si>
    <t>Made revision D</t>
  </si>
  <si>
    <t>Checked revision D</t>
  </si>
  <si>
    <t>Made revision E</t>
  </si>
  <si>
    <t>Checked revision E</t>
  </si>
  <si>
    <t>Made revision F</t>
  </si>
  <si>
    <t>Checked revision F</t>
  </si>
  <si>
    <t>Which portal is being used?</t>
  </si>
  <si>
    <t>myTenders</t>
  </si>
  <si>
    <t>Delta e-sourcing</t>
  </si>
  <si>
    <t>In-tend</t>
  </si>
  <si>
    <t>Tenders Direct</t>
  </si>
  <si>
    <t>SIMAP</t>
  </si>
  <si>
    <t>Portal</t>
  </si>
  <si>
    <t xml:space="preserve">On behalf of
</t>
  </si>
  <si>
    <t xml:space="preserve">Prepared by
</t>
  </si>
  <si>
    <t>Faithorn Farrell Timms LLP</t>
  </si>
  <si>
    <t>Email: procurement@effefftee.co.uk</t>
  </si>
  <si>
    <t>Q. No.</t>
  </si>
  <si>
    <t>Note:</t>
  </si>
  <si>
    <t>Stage</t>
  </si>
  <si>
    <t>SQ</t>
  </si>
  <si>
    <t>Issue</t>
  </si>
  <si>
    <t>Clarification</t>
  </si>
  <si>
    <t>Return</t>
  </si>
  <si>
    <t>Time</t>
  </si>
  <si>
    <t>Eval_Start</t>
  </si>
  <si>
    <t>Eval_End</t>
  </si>
  <si>
    <t>Report</t>
  </si>
  <si>
    <t>S20</t>
  </si>
  <si>
    <t>Start</t>
  </si>
  <si>
    <t>End</t>
  </si>
  <si>
    <t>Final</t>
  </si>
  <si>
    <t>Mob</t>
  </si>
  <si>
    <t>Award</t>
  </si>
  <si>
    <t>Commence</t>
  </si>
  <si>
    <t>Uplift</t>
  </si>
  <si>
    <t>Mobilisation starts</t>
  </si>
  <si>
    <t>Working day?</t>
  </si>
  <si>
    <t>Yes</t>
  </si>
  <si>
    <t>Tech_Weighting</t>
  </si>
  <si>
    <t>Tech_Points_Lot_1</t>
  </si>
  <si>
    <t>Tech_Points_Lot_2</t>
  </si>
  <si>
    <t>Tech_Points_Lot_3</t>
  </si>
  <si>
    <t>Tech_Points_Lot_4</t>
  </si>
  <si>
    <t>Tech_Points_Lot_5</t>
  </si>
  <si>
    <t>No_of_Lots_Words</t>
  </si>
  <si>
    <t>PF_or_TB?</t>
  </si>
  <si>
    <t>Lotted?</t>
  </si>
  <si>
    <t>Required?</t>
  </si>
  <si>
    <t>Section</t>
  </si>
  <si>
    <t>Tech</t>
  </si>
  <si>
    <t>DO NOT COPY THIS COLUMN</t>
  </si>
  <si>
    <t>Maximum points available</t>
  </si>
  <si>
    <t>Abbreviated description</t>
  </si>
  <si>
    <t>Criteria</t>
  </si>
  <si>
    <t>Max. score</t>
  </si>
  <si>
    <t>Formulae used to calculate the scores awarded to a Tenderer</t>
  </si>
  <si>
    <t>Price</t>
  </si>
  <si>
    <t>Check</t>
  </si>
  <si>
    <t>Shade?</t>
  </si>
  <si>
    <t>Part 4</t>
  </si>
  <si>
    <t>Part 5</t>
  </si>
  <si>
    <t>Part 6</t>
  </si>
  <si>
    <t>Rate</t>
  </si>
  <si>
    <t>Check?</t>
  </si>
  <si>
    <t>A001</t>
  </si>
  <si>
    <t>A002</t>
  </si>
  <si>
    <t>A003</t>
  </si>
  <si>
    <t>A004</t>
  </si>
  <si>
    <t>A005</t>
  </si>
  <si>
    <t>Total (for evaluation):</t>
  </si>
  <si>
    <t>Total
(for evaluation)</t>
  </si>
  <si>
    <t>Position:</t>
  </si>
  <si>
    <t>PF_Complete?</t>
  </si>
  <si>
    <t>UoM</t>
  </si>
  <si>
    <t xml:space="preserve">.00 marks out of the maximum </t>
  </si>
  <si>
    <t>.00 marks available.</t>
  </si>
  <si>
    <t>Parisa Lewis</t>
  </si>
  <si>
    <t>Team Secretary</t>
  </si>
  <si>
    <t>Senior Quantity Surveyor</t>
  </si>
  <si>
    <t>Address</t>
  </si>
  <si>
    <t>Tel</t>
  </si>
  <si>
    <t>Brighton</t>
  </si>
  <si>
    <t>10 Hunns Mere Way, Woodingdean Business Park, Brighton, BN2 6AH</t>
  </si>
  <si>
    <t>01273 305 027</t>
  </si>
  <si>
    <t>Cardiff</t>
  </si>
  <si>
    <t>The Maltings, East Tyndall Street, Cardiff, CF24 5EA</t>
  </si>
  <si>
    <t>02920 351 531</t>
  </si>
  <si>
    <t>Gateshead</t>
  </si>
  <si>
    <t>Pinetree Centre, Durham Road, Birtley, DH3 2TD</t>
  </si>
  <si>
    <t>0191 492 8200</t>
  </si>
  <si>
    <t>Orpington</t>
  </si>
  <si>
    <t>Central Court, Knoll Rise, Orpington, BR6 0JA</t>
  </si>
  <si>
    <t>01689 885 080</t>
  </si>
  <si>
    <t>Potters Bar</t>
  </si>
  <si>
    <t>Maple House, High Street, Potters Bar, EN6 5BS</t>
  </si>
  <si>
    <t>01707 654 271</t>
  </si>
  <si>
    <t>NHF</t>
  </si>
  <si>
    <t>NHF Form of Contract 2011 published by M3 Housing Limited</t>
  </si>
  <si>
    <t>NHF Minor Works Form of Contract 2011 published by M3 Housing Limited</t>
  </si>
  <si>
    <t>ACA Standard Form of Contract for Project Partnering (PPC 2000 - Amended 2013) published by the Association of Consultant Architects Ltd. (ACA)</t>
  </si>
  <si>
    <t>Office publishing documents</t>
  </si>
  <si>
    <t>CA, CR, etc.?</t>
  </si>
  <si>
    <t>ACA Framework Alliance Contract (FAC-1) published by the The Association of Consultant Architects Ltd. (ACA)</t>
  </si>
  <si>
    <t>ACA Term Alliance Contract (TAC-1) published by the The Association of Consultant Architects Ltd. (ACA)</t>
  </si>
  <si>
    <t>Threshold</t>
  </si>
  <si>
    <t>IntSV_Advise</t>
  </si>
  <si>
    <t>IntSV_Start</t>
  </si>
  <si>
    <t>IntSV_End</t>
  </si>
  <si>
    <t>IntSV_Weighting</t>
  </si>
  <si>
    <t>Int_or_SV</t>
  </si>
  <si>
    <t>IntSV_Points_Lot_1</t>
  </si>
  <si>
    <t>IntSV_Points_Lot_2</t>
  </si>
  <si>
    <t>IntSV_Points_Lot_3</t>
  </si>
  <si>
    <t>IntSV_Points_Lot_4</t>
  </si>
  <si>
    <t>IntSV_Points_Lot_5</t>
  </si>
  <si>
    <t>Tender</t>
  </si>
  <si>
    <t>Min. to Tender</t>
  </si>
  <si>
    <t>Stage?</t>
  </si>
  <si>
    <t>Initial</t>
  </si>
  <si>
    <t>Abb_Stage</t>
  </si>
  <si>
    <t>Final Issue date</t>
  </si>
  <si>
    <t>Final Clarification deadline</t>
  </si>
  <si>
    <t>Final Return date</t>
  </si>
  <si>
    <t>Final Return time</t>
  </si>
  <si>
    <t>Final Evaluation start</t>
  </si>
  <si>
    <t>Final Evaluation end</t>
  </si>
  <si>
    <t>Final Report to client</t>
  </si>
  <si>
    <t>Final tender dates</t>
  </si>
  <si>
    <t>Round 1 starts</t>
  </si>
  <si>
    <t>Round 1 ends</t>
  </si>
  <si>
    <t>Round 2 starts</t>
  </si>
  <si>
    <t>Round 2 ends</t>
  </si>
  <si>
    <t>Neg</t>
  </si>
  <si>
    <t>1_Start</t>
  </si>
  <si>
    <t>1_End</t>
  </si>
  <si>
    <t>2_Start</t>
  </si>
  <si>
    <t>2_End</t>
  </si>
  <si>
    <t>Sub_No</t>
  </si>
  <si>
    <t>.1</t>
  </si>
  <si>
    <t>.3</t>
  </si>
  <si>
    <t>.4</t>
  </si>
  <si>
    <t>.5</t>
  </si>
  <si>
    <t>.2</t>
  </si>
  <si>
    <t>.6</t>
  </si>
  <si>
    <t>.7</t>
  </si>
  <si>
    <t>.8</t>
  </si>
  <si>
    <t>.9</t>
  </si>
  <si>
    <t>.10</t>
  </si>
  <si>
    <t>Final_Clarification_deadline</t>
  </si>
  <si>
    <t>Final_Return_date</t>
  </si>
  <si>
    <t>Final_Return_time</t>
  </si>
  <si>
    <t>Neg_Min</t>
  </si>
  <si>
    <t>Neg_Max</t>
  </si>
  <si>
    <t>Add price framework</t>
  </si>
  <si>
    <t>Test spreadsheet</t>
  </si>
  <si>
    <t>Q. ref</t>
  </si>
  <si>
    <t>Nature of information</t>
  </si>
  <si>
    <t>Description of response expected, which will be taken into account in assessment</t>
  </si>
  <si>
    <t>C1-Q1</t>
  </si>
  <si>
    <t>Name of legal entity or sole-trader</t>
  </si>
  <si>
    <t>Unique name of legal entity or name of individual</t>
  </si>
  <si>
    <t>C1-Q2</t>
  </si>
  <si>
    <t>C1-Q3</t>
  </si>
  <si>
    <t>C1-Q4</t>
  </si>
  <si>
    <t>C1-Q5</t>
  </si>
  <si>
    <t>C1-Q6</t>
  </si>
  <si>
    <t>C1-Q7</t>
  </si>
  <si>
    <t>C1-Q8</t>
  </si>
  <si>
    <t>C1-Q9</t>
  </si>
  <si>
    <t>C1-Q10</t>
  </si>
  <si>
    <t>C1-Q11</t>
  </si>
  <si>
    <t>C1-Q12</t>
  </si>
  <si>
    <t>C1-Q13</t>
  </si>
  <si>
    <t>C1-Q14</t>
  </si>
  <si>
    <t>Registered office Address</t>
  </si>
  <si>
    <t>C1-Q2-2 Address line 2</t>
  </si>
  <si>
    <t>C1-Q2-3 Address line 3</t>
  </si>
  <si>
    <t>C1-Q2-4 Town</t>
  </si>
  <si>
    <t>C1-Q2-5 County</t>
  </si>
  <si>
    <t>C1-Q2-6 Postcode</t>
  </si>
  <si>
    <t>C1-Q2-7 website (if applicable)</t>
  </si>
  <si>
    <t>Website address</t>
  </si>
  <si>
    <t>C1-001</t>
  </si>
  <si>
    <t>C1-002</t>
  </si>
  <si>
    <t>C1-003</t>
  </si>
  <si>
    <t>C1-004</t>
  </si>
  <si>
    <t>C1-005</t>
  </si>
  <si>
    <t>C1-006</t>
  </si>
  <si>
    <t>C1-007</t>
  </si>
  <si>
    <t>C1-008</t>
  </si>
  <si>
    <t>C1-009</t>
  </si>
  <si>
    <t>C1-010</t>
  </si>
  <si>
    <t>C1-011</t>
  </si>
  <si>
    <t>C1-012</t>
  </si>
  <si>
    <t>C1-013</t>
  </si>
  <si>
    <t>C1-014</t>
  </si>
  <si>
    <t>C1-015</t>
  </si>
  <si>
    <t>C1-016</t>
  </si>
  <si>
    <t>C1-017</t>
  </si>
  <si>
    <t>C1-018</t>
  </si>
  <si>
    <t>C1-019</t>
  </si>
  <si>
    <t>C1-020</t>
  </si>
  <si>
    <t>C1-021</t>
  </si>
  <si>
    <t>C1-022</t>
  </si>
  <si>
    <t>C1-023</t>
  </si>
  <si>
    <t>C1-024</t>
  </si>
  <si>
    <t>C1-025</t>
  </si>
  <si>
    <t>C1-026</t>
  </si>
  <si>
    <t>C1-027</t>
  </si>
  <si>
    <t>C1-028</t>
  </si>
  <si>
    <t>C1-Q3-1 Title (Mr, Mrs, Ms, etc.)</t>
  </si>
  <si>
    <t>C1-Q3-2 Forename</t>
  </si>
  <si>
    <t>C1-Q3-3 Family name</t>
  </si>
  <si>
    <t>C1-Q3-4 Job title</t>
  </si>
  <si>
    <t>C1-Q3-5 e-mail</t>
  </si>
  <si>
    <t>C1-Q3-6 Telephone number</t>
  </si>
  <si>
    <t>C1-Q3-7 Fax number</t>
  </si>
  <si>
    <t>C1-Q3-9 Address line 2</t>
  </si>
  <si>
    <t>C1-Q3-10 Address line 3</t>
  </si>
  <si>
    <t>C1-Q3-11 Town</t>
  </si>
  <si>
    <t>C1-Q3-12 County</t>
  </si>
  <si>
    <t>C1-Q3-13 Postcode</t>
  </si>
  <si>
    <t>C1-Q2-1</t>
  </si>
  <si>
    <t>C1-Q2-2</t>
  </si>
  <si>
    <t>C1-Q2-3</t>
  </si>
  <si>
    <t>C1-Q2-4</t>
  </si>
  <si>
    <t>C1-Q2-5</t>
  </si>
  <si>
    <t>C1-Q2-6</t>
  </si>
  <si>
    <t>C1-Q2-7</t>
  </si>
  <si>
    <t>C1-Q3-1</t>
  </si>
  <si>
    <t>C1-Q3-2</t>
  </si>
  <si>
    <t>C1-Q3-3</t>
  </si>
  <si>
    <t>C1-Q3-4</t>
  </si>
  <si>
    <t>C1-Q3-5</t>
  </si>
  <si>
    <t>C1-Q3-6</t>
  </si>
  <si>
    <t>C1-Q3-7</t>
  </si>
  <si>
    <t>C1-Q3-8</t>
  </si>
  <si>
    <t>C1-Q3-9</t>
  </si>
  <si>
    <t>C1-Q3-10</t>
  </si>
  <si>
    <t>C1-Q3-11</t>
  </si>
  <si>
    <t>C1-Q3-12</t>
  </si>
  <si>
    <t>C1-Q3-13</t>
  </si>
  <si>
    <t>C1-Q4-1 Registration number with Companies House</t>
  </si>
  <si>
    <t>C1-Q4-2 Registration number with equivalent body</t>
  </si>
  <si>
    <t>Charity registration number</t>
  </si>
  <si>
    <t>C1-Q4-1</t>
  </si>
  <si>
    <t>C1-Q4-2</t>
  </si>
  <si>
    <t>VAT registration number</t>
  </si>
  <si>
    <t>Name of immediate parent company</t>
  </si>
  <si>
    <t>Name of ultimate parent company</t>
  </si>
  <si>
    <t>Type of organization</t>
  </si>
  <si>
    <t>If 'other' please specify</t>
  </si>
  <si>
    <t>e.g. PLC; limited company; LLP; other partnership; sole trader; other</t>
  </si>
  <si>
    <t>public limited company</t>
  </si>
  <si>
    <t>limited company</t>
  </si>
  <si>
    <t>limited liability partnership</t>
  </si>
  <si>
    <t>other partnership</t>
  </si>
  <si>
    <t>sole trader</t>
  </si>
  <si>
    <t>third sector</t>
  </si>
  <si>
    <t>other</t>
  </si>
  <si>
    <t>C1-Q9-Details</t>
  </si>
  <si>
    <t>Size of business</t>
  </si>
  <si>
    <t>C1-Q11-2 What is the corresponding percentage of
disabled or disadvantaged workers?</t>
  </si>
  <si>
    <t>C1-Q11-3 Please specify which category or categories of disabled or disadvantaged workers the employees concerned belong to</t>
  </si>
  <si>
    <t>APPLICABLE TO NON-UK BUSINESSES ONLY
Official lists/national pre-qualification system</t>
  </si>
  <si>
    <t>C1-Q12-2 Please provide the name of the list or certificate and the relevant registration or certification number, if applicable</t>
  </si>
  <si>
    <t>C1-Q12-3 If the certificate of registration or certification is available electronically, please state the:
• web address
• issuing authority or body
• precise reference of the documentation</t>
  </si>
  <si>
    <t>C1-Q12-6 ONLY if this is required in the relevant notice or procurement documentation:
Will your organization be able to provide a certificate with regard to the payment of social security contributions and taxes or provide information enabling
the contracting authority or contracting entity to obtaining it directly by accessing a national database in any Member State that is available free of charge?
If the relevant documentation is available electronically, please state the:
• web address
• issuing authority or body
• precise reference of the documentation</t>
  </si>
  <si>
    <t>Form of Participation</t>
  </si>
  <si>
    <t>C1-Q13-3 To enable the collation of the group’s responses, please identify the other organizations participating in the procurement procedure together</t>
  </si>
  <si>
    <t>C1-Q13-4 Where applicable, please provide the name of the group</t>
  </si>
  <si>
    <t>C1-Q11-1</t>
  </si>
  <si>
    <t>C1-Q11-2</t>
  </si>
  <si>
    <t>C1-Q11-3</t>
  </si>
  <si>
    <t>C1-Q12-1</t>
  </si>
  <si>
    <t>C1-Q12-2</t>
  </si>
  <si>
    <t>C1-Q12-3</t>
  </si>
  <si>
    <t>C1-Q12-4</t>
  </si>
  <si>
    <t>C1-Q12-5</t>
  </si>
  <si>
    <t>C1-Q12-6</t>
  </si>
  <si>
    <t>C1-Q13-1</t>
  </si>
  <si>
    <t>C1-Q13-2</t>
  </si>
  <si>
    <t>C1-Q13-3</t>
  </si>
  <si>
    <t>C1-Q13-4</t>
  </si>
  <si>
    <t>Index_Ref</t>
  </si>
  <si>
    <t>C1-029</t>
  </si>
  <si>
    <t>C1-030</t>
  </si>
  <si>
    <t>C1-031</t>
  </si>
  <si>
    <t>C1-032</t>
  </si>
  <si>
    <t>C1-033</t>
  </si>
  <si>
    <t>C1-034</t>
  </si>
  <si>
    <t>C1-035</t>
  </si>
  <si>
    <t>C1-036</t>
  </si>
  <si>
    <t>C1-037</t>
  </si>
  <si>
    <t>C1-038</t>
  </si>
  <si>
    <t>C1-039</t>
  </si>
  <si>
    <t>C1-040</t>
  </si>
  <si>
    <t>C1-041</t>
  </si>
  <si>
    <t>C1-042</t>
  </si>
  <si>
    <t>C1-043</t>
  </si>
  <si>
    <t>C1-044</t>
  </si>
  <si>
    <t>Footnotes</t>
  </si>
  <si>
    <t>See contract notice point III.1.5</t>
  </si>
  <si>
    <t>I.e. its main aim is the social and professional integration of disabled or disadvantaged persons</t>
  </si>
  <si>
    <t>The references and classification, if any, are set out on the certification</t>
  </si>
  <si>
    <t>Notably as part of a group, consortium, joint venture or similar, or a subcontractor that is being relied on to meet the selection criteria.</t>
  </si>
  <si>
    <t>Where the supplier is participating in the procurement with others as referred to in question C1-Q13-2, the organizational roles should be understood, as follows:</t>
  </si>
  <si>
    <t>- Sole supplier/ Lead entity: Sole entity or, in case of consortium, joint venture or other types of groups, the leader of the group.</t>
  </si>
  <si>
    <t>- Group member: Member (not leader) of the consortium, joint venture or other type of group.</t>
  </si>
  <si>
    <t>- Other entity (relied upon): Entity on which the main supplier, the group or other subcontractor, relies in order to meet the selection criteria.</t>
  </si>
  <si>
    <t>- Other entity (not relied upon): Entity on which the main supplier, the group or other subcontractor, does not rely in order to meet the selection criteria.</t>
  </si>
  <si>
    <t>This includes subcontractors that the supplier relies on in the application and other organizations that the group relies on in the application (see Regulation 63 of the Public Contracts Regulations 2015).</t>
  </si>
  <si>
    <t>For subcontractors that are not relied on by a candidate in its application, the buyer may ask whether the candidate intends to subcontract, the details of the proposed subcontractors (in so far as this is possible) and also for those subcontractors to complete a self-declaration against the exclusion grounds (Regulation 71 (1) and (8) Public Contracts Regulations 2015)</t>
  </si>
  <si>
    <r>
      <t>Are you a micro, a small, or a medium-sized enterprise</t>
    </r>
    <r>
      <rPr>
        <vertAlign val="superscript"/>
        <sz val="10"/>
        <rFont val="Arial"/>
        <family val="2"/>
      </rPr>
      <t>1</t>
    </r>
    <r>
      <rPr>
        <sz val="10"/>
        <rFont val="Arial"/>
        <family val="2"/>
      </rPr>
      <t>?</t>
    </r>
  </si>
  <si>
    <r>
      <t>ONLY IN THE CASE THE PROCUREMENT IS RESERVED</t>
    </r>
    <r>
      <rPr>
        <vertAlign val="superscript"/>
        <sz val="10"/>
        <rFont val="Arial"/>
        <family val="2"/>
      </rPr>
      <t>2</t>
    </r>
    <r>
      <rPr>
        <sz val="10"/>
        <rFont val="Arial"/>
        <family val="2"/>
      </rPr>
      <t xml:space="preserve">
Sheltered workshop/“social
business”</t>
    </r>
  </si>
  <si>
    <r>
      <t>C1-Q11-1 Is your organization a sheltered workshop, a “social business”</t>
    </r>
    <r>
      <rPr>
        <vertAlign val="superscript"/>
        <sz val="10"/>
        <rFont val="Arial"/>
        <family val="2"/>
      </rPr>
      <t>3</t>
    </r>
    <r>
      <rPr>
        <sz val="10"/>
        <rFont val="Arial"/>
        <family val="2"/>
      </rPr>
      <t xml:space="preserve"> or will it provide for the performance of the contract in the context of sheltered employment programmes?
IF YES Please respond to C1-Q11-2 and C1-Q11-3 below</t>
    </r>
  </si>
  <si>
    <r>
      <t>C1-Q12-4 Please state the references on which the registration or certification is based, and, where applicable, the classification obtained in the official list</t>
    </r>
    <r>
      <rPr>
        <vertAlign val="superscript"/>
        <sz val="10"/>
        <rFont val="Arial"/>
        <family val="2"/>
      </rPr>
      <t>4</t>
    </r>
  </si>
  <si>
    <r>
      <t>C1-Q13-1 Are you participating in the procurement procedure together with others</t>
    </r>
    <r>
      <rPr>
        <vertAlign val="superscript"/>
        <sz val="10"/>
        <rFont val="Arial"/>
        <family val="2"/>
      </rPr>
      <t>5</t>
    </r>
    <r>
      <rPr>
        <sz val="10"/>
        <rFont val="Arial"/>
        <family val="2"/>
      </rPr>
      <t>?
IF YES:  Please respond to C1-Q13-2, C1-Q13-3 and C1-Q13-4 below.  Please ensure that the others concerned, each provide a separate questionnaire</t>
    </r>
  </si>
  <si>
    <r>
      <t>C1-Q13-2 Please indicate your organization’s role</t>
    </r>
    <r>
      <rPr>
        <vertAlign val="superscript"/>
        <sz val="10"/>
        <rFont val="Arial"/>
        <family val="2"/>
      </rPr>
      <t>6</t>
    </r>
    <r>
      <rPr>
        <sz val="10"/>
        <rFont val="Arial"/>
        <family val="2"/>
      </rPr>
      <t xml:space="preserve"> i.e. sole supplier/lead entity, group member, other entity (relied upon)</t>
    </r>
    <r>
      <rPr>
        <vertAlign val="superscript"/>
        <sz val="10"/>
        <rFont val="Arial"/>
        <family val="2"/>
      </rPr>
      <t>7</t>
    </r>
    <r>
      <rPr>
        <sz val="10"/>
        <rFont val="Arial"/>
        <family val="2"/>
      </rPr>
      <t>, other entity (not relied upon)</t>
    </r>
  </si>
  <si>
    <t>C2-Q1</t>
  </si>
  <si>
    <t>C2-001</t>
  </si>
  <si>
    <t>C2-Q2</t>
  </si>
  <si>
    <t>C2-002</t>
  </si>
  <si>
    <t>C2-003</t>
  </si>
  <si>
    <t>C2-004</t>
  </si>
  <si>
    <t>C2-005</t>
  </si>
  <si>
    <t>C2-006</t>
  </si>
  <si>
    <t>C2-007</t>
  </si>
  <si>
    <t>C2-008</t>
  </si>
  <si>
    <t>C2-009</t>
  </si>
  <si>
    <t>C2-010</t>
  </si>
  <si>
    <t>C2-011</t>
  </si>
  <si>
    <t>C2-012</t>
  </si>
  <si>
    <t>C2-013</t>
  </si>
  <si>
    <t>C2-014</t>
  </si>
  <si>
    <t>C1-Q2-1 Address line 1
(Property name/number)</t>
  </si>
  <si>
    <t>Contact Details for</t>
  </si>
  <si>
    <t>Enquiries</t>
  </si>
  <si>
    <t>C1-Q3-8 Address line 1
(Property name/number)</t>
  </si>
  <si>
    <t>Copy of the most recent accounts that contain turnover, profit before tax, and balance sheet (if prepared) covering either the most recent two-year period of trading or, if trading for less than two years, the period that is available.  If accounts are not prepared, provide the relevant pages from the latest tax returns (self-employment pages for sole traders, partnership pages for partnerships), together with the tax assessment.</t>
  </si>
  <si>
    <t>C2-Q1-1 Financial information for a startup business that has not reported accounts to the Inland Revenue or Companies House</t>
  </si>
  <si>
    <t>C2-Q1-2 Accounts for an unincorporated business (sole traders and partnerships)</t>
  </si>
  <si>
    <t>C2-Q1-3 Accounts for a small company or limited liability partnership with a turnover below the audit threshold at which the preparation of audited accounts is not required</t>
  </si>
  <si>
    <t>C2-Q1-4 Accounts for a medium to large incorporated entity and all other organizations that are required to prepare audited accounts</t>
  </si>
  <si>
    <t>C2-Q1-5 Accounts for other organization types (e.g. not for profit entities, local authorities, housing associations, charities)</t>
  </si>
  <si>
    <t>Copy of the most recent accounts as submitted to the Inland Revenue covering either the most recent two year period of trading or, if trading for less than two years, the period that is available. Abbreviated accounts are not acceptable</t>
  </si>
  <si>
    <t>Copy of the most recent audited accounts covering either the most recent two-year period of trading or, if trading for less than two years, the period that is available</t>
  </si>
  <si>
    <t>In most cases it is likely that audited accounts will have been prepared and the accounts required at C2-Q1-4 above will suffice. Where this is not the case, an unaudited copy of the most recent accounts as described in C2-Q1-2 above should be provided.</t>
  </si>
  <si>
    <t>C2-Q1-1</t>
  </si>
  <si>
    <t>C2-Q1-2</t>
  </si>
  <si>
    <t>C2-Q1-3</t>
  </si>
  <si>
    <t>C2-Q1-4</t>
  </si>
  <si>
    <t>C2-Q1-5</t>
  </si>
  <si>
    <t>C2-Q2-1-1</t>
  </si>
  <si>
    <t>C2-Q2-1-2</t>
  </si>
  <si>
    <t>C2-Q2-1-3</t>
  </si>
  <si>
    <t>C2-Q2-1-4</t>
  </si>
  <si>
    <t>C2-Q2-1-5</t>
  </si>
  <si>
    <t>Insurance statement and certificates</t>
  </si>
  <si>
    <t>C2-Q2-1 Employers’ liability insurance</t>
  </si>
  <si>
    <t>C2-Q2-1-1 Policy No.</t>
  </si>
  <si>
    <t>C2-Q2-1-2 Limit of indemnity</t>
  </si>
  <si>
    <t>Information requested</t>
  </si>
  <si>
    <t>C2-Q2-1-3 Excess</t>
  </si>
  <si>
    <t>C2-Q2-1-4 Limit for a single event</t>
  </si>
  <si>
    <t>C2-Q2-1-5 Expiry date</t>
  </si>
  <si>
    <t>C2-Q2-4-1 Policy No.</t>
  </si>
  <si>
    <t>C2-Q2-4-1</t>
  </si>
  <si>
    <t>C2-Q2-4-2 Limit of indemnity</t>
  </si>
  <si>
    <t>C2-Q2-4-2</t>
  </si>
  <si>
    <t>C2-Q2-4-3 Excess</t>
  </si>
  <si>
    <t>C2-Q2-4-3</t>
  </si>
  <si>
    <t>C2-Q2-4-4</t>
  </si>
  <si>
    <t>C2-Q2-3-1 Policy No.</t>
  </si>
  <si>
    <t>C2-Q2-3-1</t>
  </si>
  <si>
    <t>C2-Q2-3-2 Limit of indemnity</t>
  </si>
  <si>
    <t>C2-Q2-3-2</t>
  </si>
  <si>
    <t>C2-Q2-3-3 Excess</t>
  </si>
  <si>
    <t>C2-Q2-3-3</t>
  </si>
  <si>
    <t>C2-Q2-3-4</t>
  </si>
  <si>
    <t>C2-Q2-2-1 Policy No.</t>
  </si>
  <si>
    <t>C2-Q2-2-1</t>
  </si>
  <si>
    <t>C2-Q2-2-2 Limit of indemnity</t>
  </si>
  <si>
    <t>C2-Q2-2-2</t>
  </si>
  <si>
    <t>C2-Q2-2-3 Excess</t>
  </si>
  <si>
    <t>C2-Q2-2-3</t>
  </si>
  <si>
    <t>C2-Q2-2-4 Limit for a single event</t>
  </si>
  <si>
    <t>C2-Q2-2-4</t>
  </si>
  <si>
    <t>C2-Q2-2-5 Expiry date</t>
  </si>
  <si>
    <t>C2-Q2-2-5</t>
  </si>
  <si>
    <t>C2-015</t>
  </si>
  <si>
    <t>C2-016</t>
  </si>
  <si>
    <t>C2-017</t>
  </si>
  <si>
    <t>C2-018</t>
  </si>
  <si>
    <t>C2-019</t>
  </si>
  <si>
    <t>C2-020</t>
  </si>
  <si>
    <t>C2-021</t>
  </si>
  <si>
    <t>C2-022</t>
  </si>
  <si>
    <t>C2-023</t>
  </si>
  <si>
    <t>C2-Q2-4 Product liability insurance</t>
  </si>
  <si>
    <t>(Where product is to be supplied)</t>
  </si>
  <si>
    <t>(Where consultancy input involved)</t>
  </si>
  <si>
    <t>C2-Q2-3 Professional indemnity insurance</t>
  </si>
  <si>
    <t>C2-Q2-2 Public liability insurance</t>
  </si>
  <si>
    <t>C2-Q2-3-4 Expiry date</t>
  </si>
  <si>
    <t>C2-Q2-4-4 Expiry date</t>
  </si>
  <si>
    <t>C3-Q1</t>
  </si>
  <si>
    <t>C3-001</t>
  </si>
  <si>
    <t>C3-002</t>
  </si>
  <si>
    <t>C3-003</t>
  </si>
  <si>
    <t>C3-004</t>
  </si>
  <si>
    <t>C3-005</t>
  </si>
  <si>
    <t>C3-Q2</t>
  </si>
  <si>
    <t>C3-Q3</t>
  </si>
  <si>
    <t>Yes or No?</t>
  </si>
  <si>
    <t>C4-Q1</t>
  </si>
  <si>
    <t>C4-001</t>
  </si>
  <si>
    <t>C4-Q2</t>
  </si>
  <si>
    <t>C4-002</t>
  </si>
  <si>
    <t>C4-Q3</t>
  </si>
  <si>
    <t>C4-003</t>
  </si>
  <si>
    <t>Circumstances of exemption</t>
  </si>
  <si>
    <t>You have, within the last twelve months, successfully completed a prequalification application undertaken by an assessment provider able to demonstrate that its information gathering process is equivalent to that of PAS 91.</t>
  </si>
  <si>
    <t>Sub-Q. ref</t>
  </si>
  <si>
    <t>C4-Q1-1a)</t>
  </si>
  <si>
    <t>C4-Q1-1b)</t>
  </si>
  <si>
    <t>C4-Q1-1c)</t>
  </si>
  <si>
    <t>Example of the type of information in support of responses, which will be taken into account in assessment</t>
  </si>
  <si>
    <t>C4-Q4</t>
  </si>
  <si>
    <t>C4-Q1-1</t>
  </si>
  <si>
    <t>C4-Q1-2</t>
  </si>
  <si>
    <t>C4-Q1-3</t>
  </si>
  <si>
    <t>C4-004</t>
  </si>
  <si>
    <t>C4-005</t>
  </si>
  <si>
    <t>C4-006</t>
  </si>
  <si>
    <t>C4-Q5</t>
  </si>
  <si>
    <t>C4-007</t>
  </si>
  <si>
    <t>C4-008</t>
  </si>
  <si>
    <t>C4-009</t>
  </si>
  <si>
    <t>C4-010</t>
  </si>
  <si>
    <t>C4-011</t>
  </si>
  <si>
    <t>C4-012</t>
  </si>
  <si>
    <t>C4-013</t>
  </si>
  <si>
    <t>C4-014</t>
  </si>
  <si>
    <t>C4-015</t>
  </si>
  <si>
    <t>C4-016</t>
  </si>
  <si>
    <t>C4-017</t>
  </si>
  <si>
    <t>C4-018</t>
  </si>
  <si>
    <t>C4-019</t>
  </si>
  <si>
    <t>C4-020</t>
  </si>
  <si>
    <t>C4-021</t>
  </si>
  <si>
    <t>C4-022</t>
  </si>
  <si>
    <t>C4-023</t>
  </si>
  <si>
    <t>C4-024</t>
  </si>
  <si>
    <t>C4-025</t>
  </si>
  <si>
    <t>C4-026</t>
  </si>
  <si>
    <t>C4-027</t>
  </si>
  <si>
    <t>C4-028</t>
  </si>
  <si>
    <t>C4-029</t>
  </si>
  <si>
    <t>C4-030</t>
  </si>
  <si>
    <t>C4-031</t>
  </si>
  <si>
    <t>C4-032</t>
  </si>
  <si>
    <t>C4-033</t>
  </si>
  <si>
    <t>C4-034</t>
  </si>
  <si>
    <t>C4-035</t>
  </si>
  <si>
    <t>C4-036</t>
  </si>
  <si>
    <t>C4-037</t>
  </si>
  <si>
    <t>C4-038</t>
  </si>
  <si>
    <t>C4-039</t>
  </si>
  <si>
    <t>C4-Q6</t>
  </si>
  <si>
    <t>C4-Q7</t>
  </si>
  <si>
    <t>C4-Q8</t>
  </si>
  <si>
    <t>C4-Q9</t>
  </si>
  <si>
    <t>C4-Q10</t>
  </si>
  <si>
    <t>C4-Q11</t>
  </si>
  <si>
    <t>C4-Q12</t>
  </si>
  <si>
    <t>C4-Q13</t>
  </si>
  <si>
    <t>C4-Q14</t>
  </si>
  <si>
    <t>C4-Q15</t>
  </si>
  <si>
    <t>C4-Q16</t>
  </si>
  <si>
    <t>C4-Q17</t>
  </si>
  <si>
    <t>C4-Q18</t>
  </si>
  <si>
    <t>C4-Q19</t>
  </si>
  <si>
    <t>C4-Q20</t>
  </si>
  <si>
    <t>C4-Q21</t>
  </si>
  <si>
    <t>C4-Q22</t>
  </si>
  <si>
    <t>Are you able to show that you have a general policy and an organization which is responsible for ensuring effective health and safety (H&amp;S) management?</t>
  </si>
  <si>
    <t>Are you able to show your arrangements for ensuring that your H&amp;S measures are effective in reducing/ preventing work-related incidents, occupational ill-health and accidents?</t>
  </si>
  <si>
    <t>Do you have ready access to competent H&amp;S advice/assistance?</t>
  </si>
  <si>
    <t>Details of the arrangements for H&amp;S management that are relevant to the anticipated nature and scale of activity to be undertaken, and how these arrangements are communicated to workers. (Organizations with fewer than 5 employees, see Note 4 to this Table)</t>
  </si>
  <si>
    <t>Evidence of how your organization has ready access to competent H&amp;S advice, for both general health and safety and, for CDM duty holders, construction-related health and safety.  (Access to competent inhouse advice, in whole or part, is usually preferred. It is essential that H&amp;S advisor(s) are able to provide general H&amp;S advice and that, for CDM duty holders (from the same source or elsewhere) advice on relevant construction H&amp;S issues is accessible as required.)</t>
  </si>
  <si>
    <t>Do you have a process for providing your employees/other workforce with training and other information appropriate to the activities that your organization is likely to undertake?</t>
  </si>
  <si>
    <t>Do your employees/other workforce have H&amp;S and other relevant knowledge, experience and skills to carry out activities that your organization is likely to undertake?</t>
  </si>
  <si>
    <t>Evidence that your employees/other workforce have suitable knowledge, experience and skills for the activities assigned to them, unless there are specific situations where they need to work under competent control and/or supervision (e.g. apprentices and other trainees).</t>
  </si>
  <si>
    <t>Evidence that your organization has an effective, ongoing system for monitoring H&amp;S procedures, and for periodically reviewing and updating that system as necessary.</t>
  </si>
  <si>
    <t>Do you check, review and, where necessary, improve your H&amp;S performance?</t>
  </si>
  <si>
    <t>Do you have procedures for involving your employees/other workforce in the planning and implementation of H&amp;S measures?</t>
  </si>
  <si>
    <t>Do you routinely record and review accidents/incidents and undertake follow-up action?</t>
  </si>
  <si>
    <t>Do you have arrangements for ensuring that your suppliers also apply H&amp;S measures that are appropriate to the activities that your organization is likely to undertake?</t>
  </si>
  <si>
    <t>Do you operate a process of risk assessment, capable of supporting safe systems of work?</t>
  </si>
  <si>
    <t>Evidence that your organization implements a means of consulting with its employees/other workforce on H&amp;S matters and how comments, concerns or complaints submitted by employees/other workforce are taken into account.</t>
  </si>
  <si>
    <t>Evidence that your organization implements arrangements for ensuring and monitoring H&amp;S skills, knowledge and experience, and performance, throughout your entire supply chain, appropriate to the work likely to be undertaken.</t>
  </si>
  <si>
    <t>C4-Q12-a)</t>
  </si>
  <si>
    <t>C4-Q12-b)</t>
  </si>
  <si>
    <t>C4-Q12-c)</t>
  </si>
  <si>
    <t>C4-Q12-1</t>
  </si>
  <si>
    <t>C4-Q12-2</t>
  </si>
  <si>
    <t>C4-Q12-3</t>
  </si>
  <si>
    <t>C4-Q12-4</t>
  </si>
  <si>
    <t>None required</t>
  </si>
  <si>
    <t>CDM DUTY HOLDER ROLE(S) IDENTIFIED</t>
  </si>
  <si>
    <t>Note 1</t>
  </si>
  <si>
    <t>Note 2</t>
  </si>
  <si>
    <t>Principal contractors will also need to respond to questions applicable to contractors, and principal designers will also need to respond to questions applicable to designers</t>
  </si>
  <si>
    <t>If none of the duty holder roles identified below are relevant, you do not need to respond to any of questions C4-Q13 to C4-Q22</t>
  </si>
  <si>
    <r>
      <rPr>
        <b/>
        <sz val="10"/>
        <rFont val="Arial"/>
        <family val="2"/>
      </rPr>
      <t>Contractor/principal contractor</t>
    </r>
    <r>
      <rPr>
        <sz val="10"/>
        <rFont val="Arial"/>
        <family val="2"/>
      </rPr>
      <t xml:space="preserve">
Do you have arrangements for cooperating and co-ordinating your work with others (including other suppliers, notably contractors)?</t>
    </r>
  </si>
  <si>
    <t>Describe how co-operation and co-ordination of the work is achieved in practice, and how any other organizations are involved in drawing up method statements, etc. including response to emergency situations. This should include how input from your suppliers will be taken into account, and how external comments, including any concerns or complaints, will be responded to. This may include CPPs</t>
  </si>
  <si>
    <r>
      <rPr>
        <b/>
        <sz val="10"/>
        <rFont val="Arial"/>
        <family val="2"/>
      </rPr>
      <t>Contractor/principal contractor</t>
    </r>
    <r>
      <rPr>
        <sz val="10"/>
        <rFont val="Arial"/>
        <family val="2"/>
      </rPr>
      <t xml:space="preserve">
Do you have arrangements for ensuring on-site welfare for your employees/other workforce?</t>
    </r>
  </si>
  <si>
    <t>Describe how you ensure suitable welfare facilities for your employees/other workforce are in place before starting work on site, whether provided by a site-specific arrangement with others, or your own measures. This may include CPPs.</t>
  </si>
  <si>
    <t>Examples of actual knowledge, skills and experience within your organization. This may include:
NEBOSH Construction Certificate; membership of Association for Project Safety; membership of Institution of Construction Safety; SSSTS; SMSTS (e.g. provided in a skills matrix for key personnel)</t>
  </si>
  <si>
    <r>
      <rPr>
        <b/>
        <sz val="10"/>
        <rFont val="Arial"/>
        <family val="2"/>
      </rPr>
      <t>Contractor/principal contractor</t>
    </r>
    <r>
      <rPr>
        <sz val="10"/>
        <rFont val="Arial"/>
        <family val="2"/>
      </rPr>
      <t xml:space="preserve">
Are you able to provide evidence of the skills, knowledge and experience of H&amp;S in construction in your organization?</t>
    </r>
  </si>
  <si>
    <r>
      <rPr>
        <b/>
        <sz val="10"/>
        <rFont val="Arial"/>
        <family val="2"/>
      </rPr>
      <t>Contractor/principal contractor</t>
    </r>
    <r>
      <rPr>
        <sz val="10"/>
        <rFont val="Arial"/>
        <family val="2"/>
      </rPr>
      <t xml:space="preserve">
Do you review and develop your effectiveness in the contractor/principal contractor role?</t>
    </r>
  </si>
  <si>
    <t>Evidence that your organization Implements an ongoing system for monitoring performance, including post-project review.</t>
  </si>
  <si>
    <r>
      <rPr>
        <b/>
        <sz val="10"/>
        <rFont val="Arial"/>
        <family val="2"/>
      </rPr>
      <t>Principal contractor</t>
    </r>
    <r>
      <rPr>
        <sz val="10"/>
        <rFont val="Arial"/>
        <family val="2"/>
      </rPr>
      <t xml:space="preserve">
Do you implement arrangements to meet the ‘principal contractor’ duties under the Construction (Design and Management) Regulations 2015?</t>
    </r>
  </si>
  <si>
    <t>C4-Q17-1</t>
  </si>
  <si>
    <t>C4-Q17-2</t>
  </si>
  <si>
    <t>C4-Q17-3</t>
  </si>
  <si>
    <t>C4-Q17-4</t>
  </si>
  <si>
    <t>C4-Q17-5</t>
  </si>
  <si>
    <t>C4–Q17-2 Prepare, review and maintain CPPs;</t>
  </si>
  <si>
    <t>C4–Q17-3 Organize cooperation between contractors and others, and coordinate the work;</t>
  </si>
  <si>
    <t>C4–Q17-4 Ensure relevant and suitable site inductions;</t>
  </si>
  <si>
    <t>C4–Q17-5 Provide information for the H&amp;S file.</t>
  </si>
  <si>
    <t>C4-Q18-1</t>
  </si>
  <si>
    <t>C4-Q18-2</t>
  </si>
  <si>
    <t>C4-Q18-3</t>
  </si>
  <si>
    <t>C4-Q18-4</t>
  </si>
  <si>
    <r>
      <rPr>
        <b/>
        <sz val="10"/>
        <rFont val="Arial"/>
        <family val="2"/>
      </rPr>
      <t>Designer/principal designer</t>
    </r>
    <r>
      <rPr>
        <sz val="10"/>
        <rFont val="Arial"/>
        <family val="2"/>
      </rPr>
      <t xml:space="preserve">
Do you implement arrangements to meet the ‘designer’ duties under the Construction (Design and Management) Regulations 2015? </t>
    </r>
  </si>
  <si>
    <t>C4-Q18-2 Ensure that you and your workforce have the necessary skills, knowledge and experience to discharge their legal duties under CDM 2015?
Provide relevant evidence of:
• your CPD programme and/or examples of training and development plans (which may include inhouse training).
• your relevant qualifications, e.g. membership of a professional institution such as CIAT; CIBSE; ICE or RIBA.
• how you maintain your technical knowledge and understanding of construction design.</t>
  </si>
  <si>
    <t>C4-Q18-3 Ensure significant risks are eliminated by design, taking account of the principles of prevention and show how construction and lifecycle risks are eliminated or controlled (with reference to buildability, maintainability and use).</t>
  </si>
  <si>
    <t>C4-Q18-4 Effectively manage design changes, with regard to ensuring H&amp;S during and post-completion.</t>
  </si>
  <si>
    <r>
      <rPr>
        <b/>
        <sz val="10"/>
        <rFont val="Arial"/>
        <family val="2"/>
      </rPr>
      <t>Designer/principal designer</t>
    </r>
    <r>
      <rPr>
        <sz val="10"/>
        <rFont val="Arial"/>
        <family val="2"/>
      </rPr>
      <t xml:space="preserve">
Do you review and monitor your design performance, notably in relation to H&amp;S?</t>
    </r>
  </si>
  <si>
    <t>Evidence that your organization implements an ongoing system for monitoring H&amp;S design procedures and for reviewing and updating that system as necessary, e.g. through project design review (during and postcompletion).</t>
  </si>
  <si>
    <r>
      <rPr>
        <b/>
        <sz val="10"/>
        <rFont val="Arial"/>
        <family val="2"/>
      </rPr>
      <t>Principal designer</t>
    </r>
    <r>
      <rPr>
        <sz val="10"/>
        <rFont val="Arial"/>
        <family val="2"/>
      </rPr>
      <t xml:space="preserve">
Do you implement arrangements to meet the “principal designer” duties under the Construction (Design and Management) Regulations 2015?</t>
    </r>
  </si>
  <si>
    <t>C4-Q20-1</t>
  </si>
  <si>
    <t>C4-Q20-2</t>
  </si>
  <si>
    <t>C4-Q20-3</t>
  </si>
  <si>
    <t>C4-Q20-4</t>
  </si>
  <si>
    <t>C4-Q20-5</t>
  </si>
  <si>
    <t>C4-Q20-6</t>
  </si>
  <si>
    <t>C4–Q20-2 Gather, prepare, communicate and coordinate information, including design information, with other duty holders during the pre-construction phase</t>
  </si>
  <si>
    <t>C4–Q20-3 Plan, manage and monitor health and safety-related information, including design information, in the pre-construction phase of a project, with the aim of identifying, eliminating or controlling foreseeable risks;</t>
  </si>
  <si>
    <t>C4–Q20-4 Ensure designers carry out their duties, including oversight and co-ordination within the design team and with other designers/contractors;</t>
  </si>
  <si>
    <t>C4-Q20-5 Liaise with the principal contractor;</t>
  </si>
  <si>
    <t>C4–Q20-6 Prepare and provide relevant information to other duty holders, including the H&amp;S file.</t>
  </si>
  <si>
    <r>
      <rPr>
        <b/>
        <sz val="10"/>
        <rFont val="Arial"/>
        <family val="2"/>
      </rPr>
      <t>Principal designer</t>
    </r>
    <r>
      <rPr>
        <sz val="10"/>
        <rFont val="Arial"/>
        <family val="2"/>
      </rPr>
      <t xml:space="preserve">
Are you able to provide evidence of the skills, knowledge and experience of H&amp;S in construction in your organization?</t>
    </r>
  </si>
  <si>
    <t>Examples of actual skills, knowledge and experience.  This may include validated CPD, and typical additional qualifications.
For example, a member of the registers administered by the Association for Project Safety or the Institution of Construction Safety (formerly known as the CDM co-ordinator’s register), or the ICE construction health and safety register.</t>
  </si>
  <si>
    <t>Evidence that your organization implements, an ongoing system for monitoring performance, including post-project review.</t>
  </si>
  <si>
    <r>
      <rPr>
        <b/>
        <sz val="10"/>
        <rFont val="Arial"/>
        <family val="2"/>
      </rPr>
      <t>Principal designer</t>
    </r>
    <r>
      <rPr>
        <sz val="10"/>
        <rFont val="Arial"/>
        <family val="2"/>
      </rPr>
      <t xml:space="preserve">
Do you review and develop your effectiveness in the principal designer role?</t>
    </r>
  </si>
  <si>
    <t>NOTE 4</t>
  </si>
  <si>
    <t>If a supplier has fewer than five employees it is not legally required to write down its general policy, organization or arrangements. However, it does need to be able to show that its arrangements are adequate in relation to the type of activity likely to be undertaken.</t>
  </si>
  <si>
    <t>NOTE 5</t>
  </si>
  <si>
    <t>NOTE 6</t>
  </si>
  <si>
    <t>Relevant and proportionate CPPs are required for ‘construction work’ covered by CDM 2015. CPPs need only be proportionate to the nature of the activity likely to be undertaken.</t>
  </si>
  <si>
    <t>RIDDOR: The Reporting of Injuries, Diseases and Dangerous Occurrences Regulations 2013.</t>
  </si>
  <si>
    <t>O1-Q1</t>
  </si>
  <si>
    <t>O1-001</t>
  </si>
  <si>
    <t>O1-Q2</t>
  </si>
  <si>
    <t>O1-002</t>
  </si>
  <si>
    <t>O1-Q3</t>
  </si>
  <si>
    <t>O1-003</t>
  </si>
  <si>
    <t>Description of information in support of response, which will be taken into account in assessment</t>
  </si>
  <si>
    <t>O1-Q4</t>
  </si>
  <si>
    <t>O1-004</t>
  </si>
  <si>
    <t>O1-Q5</t>
  </si>
  <si>
    <t>O1-005</t>
  </si>
  <si>
    <t>O1-Q6</t>
  </si>
  <si>
    <t>O1-006</t>
  </si>
  <si>
    <t>O1-Q7</t>
  </si>
  <si>
    <t>O1-007</t>
  </si>
  <si>
    <t>O1-Q8</t>
  </si>
  <si>
    <t>O1-008</t>
  </si>
  <si>
    <t>O1-Q9</t>
  </si>
  <si>
    <t>O1-009</t>
  </si>
  <si>
    <t>O1-Q10</t>
  </si>
  <si>
    <t>O1-010</t>
  </si>
  <si>
    <t>O1-011</t>
  </si>
  <si>
    <t>O1-012</t>
  </si>
  <si>
    <t>O1-013</t>
  </si>
  <si>
    <t>O1-Q1-1</t>
  </si>
  <si>
    <t>O1-Q1-2</t>
  </si>
  <si>
    <t>O1-Q1-3</t>
  </si>
  <si>
    <t>O1-Q1-4</t>
  </si>
  <si>
    <t>O1-014</t>
  </si>
  <si>
    <t>O1-015</t>
  </si>
  <si>
    <t>In respect of O1-Q1, copies of:
O1-Q1-1 relevant instructions or written statement/evidence of relevant actions</t>
  </si>
  <si>
    <t>O1-Q1-2 relevant guidance or written statement/evidence of relevant actions</t>
  </si>
  <si>
    <t>O1-Q1-3 relevant policies/literature or written statement/evidence of relevant actions</t>
  </si>
  <si>
    <t>O1-Q1-4 evidence of where you believe these policies have made a difference</t>
  </si>
  <si>
    <t>Is it your policy as an employer to comply with anti-discrimination legislation, and to treat all people fairly and equally so that no one group of people is treated less favourably than others?</t>
  </si>
  <si>
    <t>No supporting evidence required</t>
  </si>
  <si>
    <t>Details of any findings</t>
  </si>
  <si>
    <t>Details of any investigations</t>
  </si>
  <si>
    <t>In the last three years has any finding of unlawful discrimination been made against your organization by any court or industrial or employment tribunal or equivalent body?</t>
  </si>
  <si>
    <t>In the last three years, has your organization been subject to a compliance action by the Equality and Human Rights Commission or an equivalent body on grounds of alleged unlawful discrimination?</t>
  </si>
  <si>
    <t>In the last three years, has your organization been found in breach of section 15 of the Immigration, Asylum and Nationality Act 2006?</t>
  </si>
  <si>
    <t>In the last three years, has your organization been found in breach of section 21 of the Immigration, Asylum and Nationality Act 2006?</t>
  </si>
  <si>
    <t>In the last three years, has your organization been found to be in breach of the National Minimum Wage Act 1998?</t>
  </si>
  <si>
    <t>If the answer to any of questions 3 to 7 is “yes”, what steps did your organization take as a result of that finding or investigation?</t>
  </si>
  <si>
    <t>Details/evidence of remedial action</t>
  </si>
  <si>
    <t>Does your organization operate appropriate arrangements to ensure that equality and diversity is embedded within your organization?</t>
  </si>
  <si>
    <t>Provide copies of any relevant policies or written statement/evidence of relevant actions</t>
  </si>
  <si>
    <t>Do you actively promote good practice in terms of eliminating discrimination in all forms through:</t>
  </si>
  <si>
    <t>O1-Q10-1 guidance to your employees/suppliers concerned with recruitment, training and promotion?
In respect of O1-Q10-1, copies of any relevant guidance or written statement/evidence of relevant actions.</t>
  </si>
  <si>
    <t>O1-Q10-2 making guidance or policy documents concerning how the organization embeds equality and diversity available to employees/sub-contractors, recognized trade unions or other representative groups of employees?
In respect of O1-Q10-2, copies of any relevant guidance, policies, or written statement/evidence of relevant actions.</t>
  </si>
  <si>
    <t>O1-Q10-3 appropriate recruitment advertisements or other literature?
In respect of O1-Q10-3, copies of any relevant advertisement or written statement/evidence of relevant actions.</t>
  </si>
  <si>
    <t>O2-Q1</t>
  </si>
  <si>
    <t>O2-001</t>
  </si>
  <si>
    <t>O2-002</t>
  </si>
  <si>
    <t>O2-003</t>
  </si>
  <si>
    <t>O2-004</t>
  </si>
  <si>
    <t>O2-Q2</t>
  </si>
  <si>
    <t>O2-005</t>
  </si>
  <si>
    <t>O2-Q3</t>
  </si>
  <si>
    <t>O2-006</t>
  </si>
  <si>
    <t>O2-Q4</t>
  </si>
  <si>
    <t>O2-Q5</t>
  </si>
  <si>
    <t>O2-Q6</t>
  </si>
  <si>
    <t>Exemption claimed?</t>
  </si>
  <si>
    <t>Exemption</t>
  </si>
  <si>
    <t>Do you have arrangements for ensuring that any suppliers you engage apply environmental protection measures that are appropriate to the activity for which they are being engaged?</t>
  </si>
  <si>
    <t>Do you have a documented policy and organization for the management of construction-related environmental issues?</t>
  </si>
  <si>
    <t>Do you have documented arrangements for ensuring that your environmental management procedures are effective in reducing/preventing significant impacts on the environment?</t>
  </si>
  <si>
    <t>Do you have arrangements for providing employees who will engage in construction, with training and information on construction-related environmental issues?</t>
  </si>
  <si>
    <t>Do you check, review and where necessary improve your environmental management performance?</t>
  </si>
  <si>
    <t>Evidence that you or your organization has an environmental management policy authorized by the chief executive or equivalent that is regularly reviewed.
The policy should be relevant to the nature and scale of the activity and set out the responsibilities for environmental management throughout the organization.</t>
  </si>
  <si>
    <t>Evidence that your organization’s environmental policy implementation plan provides information as to how the company aims to discharge relevant legal responsibilities and provides clear indication of how these arrangements are communicated to employees/other workforce, in relation to environmental matters including:
• sustainable materials procurement;
• waste management;
• energy management.
This should include the arrangements for responding to, monitoring and recording environmental incidents, emergencies and complaints.</t>
  </si>
  <si>
    <t>Evidence that your organization has in place, and implements, training arrangements to ensure that its workforce has sufficient skills and understanding to carry out their various duties.
This should include a programme of refresher training that will keep employees/other workforce updated on relevant legal requirements and good environmental management practice.</t>
  </si>
  <si>
    <t>Evidence that your organization has a system for monitoring environmental management procedures on an ongoing basis and for updating them at periodic interval.</t>
  </si>
  <si>
    <t>Evidence that your organization has procedures for monitoring supplier’s environmental management arrangements and ensuring that environmental performance appropriate for the activity to be undertaken is delivered throughout the whole of your organizations supply chain.</t>
  </si>
  <si>
    <t>O3-Q1</t>
  </si>
  <si>
    <t>O3-Q2</t>
  </si>
  <si>
    <t>O3-001</t>
  </si>
  <si>
    <t>O3-Q3</t>
  </si>
  <si>
    <t>O3-002</t>
  </si>
  <si>
    <t>O3-Q4</t>
  </si>
  <si>
    <t>O3-003</t>
  </si>
  <si>
    <t>O3-Q5</t>
  </si>
  <si>
    <t>O3-004</t>
  </si>
  <si>
    <t>O3-Q6</t>
  </si>
  <si>
    <t>O3-005</t>
  </si>
  <si>
    <t>O3-006</t>
  </si>
  <si>
    <t>Do you have a policy and organization for quality management?</t>
  </si>
  <si>
    <t>Do you have arrangements for ensuring that your quality management, including the quality of construction output and general performance, is effective in reducing/preventing incidents of sub-standard delivery?</t>
  </si>
  <si>
    <t>Do you have arrangements for providing your workforce with quality-related training and information appropriate to the type of work for which your organization is likely to bid?</t>
  </si>
  <si>
    <t>Do you have procedures for periodically reviewing, correcting and improving quality performance?</t>
  </si>
  <si>
    <t>Do you have arrangements for ensuring that your own suppliers apply quality management measures that are appropriate to the work for which they are being engaged?</t>
  </si>
  <si>
    <t>Evidence that your organization has in place and implements, training arrangements to ensure that its employees/other workforce has sufficient skills and understanding to discharge their various responsibilities.
These arrangements should include a programme of training that will keep employees/other workforce up to date with required knowledge about quality related issues, including copies of job profiles; training manuals and training records.</t>
  </si>
  <si>
    <t>Evidence that your organization keeps copies of documentation setting out quality management organization and procedures that meet currently agreed good. practice.
These should include the arrangements for quality management throughout the organization. They should set out how the company will carry out its policy, with a clear indication of how the arrangements are communicated to employees/other workforce.</t>
  </si>
  <si>
    <t>Evidence that your organization has and implements a quality management policy that is authorized by the chief executive or equivalent that is periodically reviewed at a senior management level.
The policy should be relevant to the nature and scale of the work to be undertaken and set out responsibilities for quality management throughout the organization.</t>
  </si>
  <si>
    <t>Evidence that your organization has a system for monitoring quality management procedures on an ongoing basis. Your organization should be able to provide evidence of systematic, periodic review and improvement of quality in respect of construction output and general performance.</t>
  </si>
  <si>
    <t>Evidence that your organization has arrangements for monitoring supplier’s quality management arrangements and ensuring that quality performance appropriate for the work to be undertaken is delivered throughout the whole of your organizations supply chain.</t>
  </si>
  <si>
    <t>O4-Q1</t>
  </si>
  <si>
    <t>O4-001</t>
  </si>
  <si>
    <t>O4-Q2</t>
  </si>
  <si>
    <t>O4-002</t>
  </si>
  <si>
    <t>O4-Q3</t>
  </si>
  <si>
    <t>O4-003</t>
  </si>
  <si>
    <t>O4-Q4</t>
  </si>
  <si>
    <t>O4-004</t>
  </si>
  <si>
    <t>O4-Q5</t>
  </si>
  <si>
    <t>O4-005</t>
  </si>
  <si>
    <t>NOTE</t>
  </si>
  <si>
    <t>O3-QP1</t>
  </si>
  <si>
    <t>C3-QP2</t>
  </si>
  <si>
    <t>C3-006</t>
  </si>
  <si>
    <t>C3-007</t>
  </si>
  <si>
    <t>C3-008</t>
  </si>
  <si>
    <t>C3-009</t>
  </si>
  <si>
    <t>C3-010</t>
  </si>
  <si>
    <t>C3-011</t>
  </si>
  <si>
    <t>C3-012</t>
  </si>
  <si>
    <t>C3-013</t>
  </si>
  <si>
    <t>C3-014</t>
  </si>
  <si>
    <t>C3-QP2-1</t>
  </si>
  <si>
    <t>C3-QP2-2</t>
  </si>
  <si>
    <t>C3-QP2-3</t>
  </si>
  <si>
    <t>C3-QP2-4</t>
  </si>
  <si>
    <t>C3-QP2-5</t>
  </si>
  <si>
    <t>C3-QP2-6</t>
  </si>
  <si>
    <t>C3-QP2-7</t>
  </si>
  <si>
    <t>C3-QP2-8</t>
  </si>
  <si>
    <t>C3-QP2-9</t>
  </si>
  <si>
    <t>C3-QP2-10</t>
  </si>
  <si>
    <t>Grounds for Mandatory Exclusion</t>
  </si>
  <si>
    <t>Participation in a criminal organization</t>
  </si>
  <si>
    <t>Corruption</t>
  </si>
  <si>
    <t>Fraud</t>
  </si>
  <si>
    <t>Terrorist offences or offences linked to terrorist activities</t>
  </si>
  <si>
    <t>Money laundering or terrorist financing</t>
  </si>
  <si>
    <t>Child labour and other forms of trafficking human beings</t>
  </si>
  <si>
    <t>Any other offence within the meaning of Article 57(1) of the Directive as defined by the law of any jurisdiction outside England, Wales or Northern Ireland</t>
  </si>
  <si>
    <t>Any other offence within the meaning of Article 57(1) of the Directive created after 26th February 2015 in England, Wales or Northern Ireland.</t>
  </si>
  <si>
    <t>If you have answered yes to any of questions C3-QP2-1 to C3-QP2-8, provide further details for each such question, including:
• date of conviction and the jurisdiction;
• which of the grounds listed the conviction was for;
• the reasons for conviction;
• the identity of who has been convicted.
If the relevant documentation is available electronically, provide:
• the web address;
• issuing authority;
• precise reference of the documents.</t>
  </si>
  <si>
    <t>If you have answered Yes to any of the questions C3-QP2-1 to C3-QP2-8, explain, for each such question, what measures have been taken to demonstrate the reliability of the organization despite the existence of relevant grounds for exclusion (self-cleaning - see Regulation 57 (13 to 17) of the Public Contracts Regulations 2015).</t>
  </si>
  <si>
    <t>C3-QP3</t>
  </si>
  <si>
    <t>Non-payment of tax and social security contributions (mandatory and discretionary exclusion)</t>
  </si>
  <si>
    <t>C3-015</t>
  </si>
  <si>
    <t>C3-016</t>
  </si>
  <si>
    <t>C3-017</t>
  </si>
  <si>
    <t>C3-018</t>
  </si>
  <si>
    <t>C3-019</t>
  </si>
  <si>
    <t>C3-020</t>
  </si>
  <si>
    <t>C3-021</t>
  </si>
  <si>
    <t>C3-022</t>
  </si>
  <si>
    <t>C3-023</t>
  </si>
  <si>
    <t>C3-024</t>
  </si>
  <si>
    <t>C3-QP3-1</t>
  </si>
  <si>
    <t>C3-QP3-2</t>
  </si>
  <si>
    <t>C3-QP3-3</t>
  </si>
  <si>
    <t>C3-QP3-4</t>
  </si>
  <si>
    <t>Has your organization met all its obligations relating to the payment of taxes or social security contributions, both in the UK and in the country in which the organization is established (if outside the UK)?</t>
  </si>
  <si>
    <t>If you responded “No” for question C3-QP3-1, was this through a judicial or administrative decision having final and binding effect?</t>
  </si>
  <si>
    <t>Have any tax returns submitted on or after 1 October 2012 been found to be incorrect as a result of:</t>
  </si>
  <si>
    <t>C3-QP3-4-a</t>
  </si>
  <si>
    <t>C3-QP3-4-b</t>
  </si>
  <si>
    <t>C3-QP3-4-c</t>
  </si>
  <si>
    <t>If you have answered No to C3-QP3-1 and/or Yes to any of questions C3-QP3-2 to C3-QP3-3(c), provide further details for each instance, including:
• whether you believe there to be any overriding reasons for nonpayment;
• the country or state concerned;
• the amount concerned;
• details of the means for a No response to question C3-QP3-1 (if not included the response to C3-QP3-2 or C3-QP3-3(a) (b) or (c));
• the date of the conviction or decision (if applicable);
• in case of a conviction, insofar as established directly therein, the length of the period of exclusion;
• whether you have paid, or have entered into a binding arrangement with a view to paying, “the taxes or social security contributions due” including where applicable any interest accrued and/or fines; and
• if the relevant documentation is available electronically indicate the web address, issuing authority or body and precise reference of the document.</t>
  </si>
  <si>
    <t>NOTE:</t>
  </si>
  <si>
    <t>We reserve our right to use our discretion to exclude your bid where we can demonstrate by any appropriate means that you are in breach of your obligations relating to the non-payment of taxes or social security contributions.</t>
  </si>
  <si>
    <t>C3-QP4</t>
  </si>
  <si>
    <t>C3-QP4-1</t>
  </si>
  <si>
    <t>C3-QP4-2</t>
  </si>
  <si>
    <t>C3-QP4-3</t>
  </si>
  <si>
    <t>C3-QP4-4</t>
  </si>
  <si>
    <t>C3-025</t>
  </si>
  <si>
    <t>C3-026</t>
  </si>
  <si>
    <t>C3-027</t>
  </si>
  <si>
    <t>C3-028</t>
  </si>
  <si>
    <t>C3-QP4-5</t>
  </si>
  <si>
    <t>C3-QP4-6</t>
  </si>
  <si>
    <t>C3-QP4-7</t>
  </si>
  <si>
    <t>Breach of obligations in the field of environment, social and/or labour law.</t>
  </si>
  <si>
    <t>Bankruptcy, insolvency</t>
  </si>
  <si>
    <t>Guilty of grave professional misconduct</t>
  </si>
  <si>
    <t>Distortion of competition</t>
  </si>
  <si>
    <t>C3-029</t>
  </si>
  <si>
    <t>C3-030</t>
  </si>
  <si>
    <t>C3-031</t>
  </si>
  <si>
    <t>C3-032</t>
  </si>
  <si>
    <t>C3-033</t>
  </si>
  <si>
    <t>C3-QP4-8</t>
  </si>
  <si>
    <t>C3-034</t>
  </si>
  <si>
    <t>Aware of any conflict of interest</t>
  </si>
  <si>
    <t>Been involved in the preparation of the procurement procedure</t>
  </si>
  <si>
    <t>Performance deficiencies on a previous contract leading to early termination, damages or other sanctions</t>
  </si>
  <si>
    <t>(a) HMRC successfully challenging the potential supplier under the General Anti – Abuse Rule (GAAR) or the “Halifax” abuse principle;</t>
  </si>
  <si>
    <t>(b) a tax authority in a jurisdiction in which the potential supplier is established successfully challenging it under any tax rules or legislation that have an effect equivalent or similar to the GAAR or “Halifax” abuse principle; or</t>
  </si>
  <si>
    <t>(c) a failure to notify, or failure of an avoidance scheme which the supplier is or was involved in, under the Disclosure of Tax Avoidance Scheme rules (DOTAS), VADR (Schedule 11A to the Value Added Tax Act 1994 (as amended by Schedule 1 to the Finance (no. 2) Act 2005) or any equivalent or similar regime in a jurisdiction in which the supplier is established.</t>
  </si>
  <si>
    <t>(b) The organization has withheld such information.</t>
  </si>
  <si>
    <t>(a) The organization is guilty of serious misrepresentation in supplying the information required for the verification of the absence of grounds for exclusion or the fulfilment of the selection criteria.</t>
  </si>
  <si>
    <t>(c) The organization is not able to submit supporting documents required under Regulation 59 of the Public Contracts Regulations 2015.</t>
  </si>
  <si>
    <t>(d) The organization has influenced the decision-making process of the contracting authority to obtain confidential information that may confer upon the organization undue advantages in the procurement procedure.</t>
  </si>
  <si>
    <t>C3-QP4-9</t>
  </si>
  <si>
    <t>C3-035</t>
  </si>
  <si>
    <t>(e) The organization has negligently provided misleading information that may have a material influence on decisions concerning exclusion, selection or award.</t>
  </si>
  <si>
    <t>Do any of the circumstances as set out in Part 4 Regulation 23(1) of the Defence and Security Public Contracts Regulations 2011 (SI 1848), including any amendments to the legislation identified*, apply to you as the Applicant or to members of any Applicant Group? If yes, supply details in C3-QD1-1 to C3-QD-1(l),as applicable.</t>
  </si>
  <si>
    <t>C3-036</t>
  </si>
  <si>
    <t>C3-037</t>
  </si>
  <si>
    <t>C3-038</t>
  </si>
  <si>
    <t>C3-039</t>
  </si>
  <si>
    <t>C3-040</t>
  </si>
  <si>
    <t>C3-041</t>
  </si>
  <si>
    <t>C3-042</t>
  </si>
  <si>
    <t>C3-043</t>
  </si>
  <si>
    <t>C3-044</t>
  </si>
  <si>
    <t>C3-045</t>
  </si>
  <si>
    <t>C3-046</t>
  </si>
  <si>
    <t>O3-QD1</t>
  </si>
  <si>
    <t>C3-QD2-1</t>
  </si>
  <si>
    <t>C3-QD2-2</t>
  </si>
  <si>
    <t>C3-QD1-1</t>
  </si>
  <si>
    <t>C3-QD2-1-a</t>
  </si>
  <si>
    <t>C3-QD2-1-b</t>
  </si>
  <si>
    <t>C3-QD2-1-c</t>
  </si>
  <si>
    <t>If your organization or any directors or partner or any other person who has powers of representation, decision or control has been convicted of any of the following offences, provide information.</t>
  </si>
  <si>
    <t>(a) conspiracy within the meaning of section 1 or section 1A of the Criminal Law Act 1977 or article 9 or 9A of the Criminal Attempts and Conspiracy (Northern Ireland) Order 1983, or in Scotland the Offence of conspiracy, where that conspiracy relates to participation in a criminal organization as defined in Article 2 of Council Framework Decision 2008/841/JHA.</t>
  </si>
  <si>
    <t>(b) involvement in serious organized crime or directing serious organized crime within the meaning of section 28 or 30 of the Criminal Justice and Licensing (Scotland) Act 2010;</t>
  </si>
  <si>
    <t>(c) corruption within the meaning of section 1 of the Public Bodies Corrupt Practices Act 1889 or section 1 of the Prevention of Corruption Act 1906*;</t>
  </si>
  <si>
    <t>(d) the offence of bribery;</t>
  </si>
  <si>
    <t>(e) bribery within the meaning of section 1, 2 or 6 of the Bribery Act 2010;</t>
  </si>
  <si>
    <t>(f) bribery or corruption within the meaning of section 68 and 69 of the Criminal Justice (Scotland) Act 2003;</t>
  </si>
  <si>
    <t>(g) (i) the offence of cheating the Revenue;</t>
  </si>
  <si>
    <t>C3-047</t>
  </si>
  <si>
    <t>C3-048</t>
  </si>
  <si>
    <t>C3-049</t>
  </si>
  <si>
    <t>C3-050</t>
  </si>
  <si>
    <t>C3-051</t>
  </si>
  <si>
    <t>C3-052</t>
  </si>
  <si>
    <t>C3-053</t>
  </si>
  <si>
    <t>C3-054</t>
  </si>
  <si>
    <t>C3-055</t>
  </si>
  <si>
    <t>C3-056</t>
  </si>
  <si>
    <t>C3-057</t>
  </si>
  <si>
    <t>(g) (ii) the offence of conspiracy to Defraud;</t>
  </si>
  <si>
    <t>(g) (iii) fraud or theft within the meaning of the Theft Act 1968* the Theft Act (Northern Ireland) 1969*, the Theft Act 1978* or the Theft (Northern Ireland) Order 1978*;</t>
  </si>
  <si>
    <t>(g) (iv) fraud within the meaning of section 2, 3 or 4 of the Fraud Act 2006;</t>
  </si>
  <si>
    <t>(g) (v) in Scotland, the offence of fraud;</t>
  </si>
  <si>
    <t>(g) (vi) in Scotland, the offence of theft;</t>
  </si>
  <si>
    <t>(g) (vii) fraudulent trading within the meaning of section 458 of the Companies Act 1985, article 451 of the Companies Act (Northern Ireland) Order 1986 or section 993 of the Companies Act 2006;</t>
  </si>
  <si>
    <t>(g) (viii) fraudulent evasion within the meaning of section 170 of the Customs and Excise Management Act 1979 or section 72 of the Value Added Tax Act 1994*;</t>
  </si>
  <si>
    <t>(g) (ix) an offence in connection with taxation in the European Union within the meaning of section 71 of the Criminal Justice Act 1993;</t>
  </si>
  <si>
    <t>(g) (x) destroying, defacing or
concealing of documents or procuring
the execution of a valuable security
within the meaning of section 20 of the
Theft Act 1968* or section 19 of the Theft Act (Northern Ireland) 1969* or making, adapting, supplying or offering to supply articles for use in frauds within the meaning of section 7 of the Fraud Act 2006;</t>
  </si>
  <si>
    <t>(g) (xi) in Scotland the offence of uttering; or</t>
  </si>
  <si>
    <t>(g) (xii) in Scotland, the criminal offence of attempting to pervert the course of justice;</t>
  </si>
  <si>
    <t>(h) money laundering within the meaning of section 93A, 93B, or 93C of the Criminal Justice Act 1988, section 45, 46 or 47 of the Proceeds of Crime (Northern Ireland) Order 1996 or the Money Laundering Regulations 2003 or money laundering or terrorist financing within the meaning of the Money Laundering Regulations 2007*;</t>
  </si>
  <si>
    <t>C3-058</t>
  </si>
  <si>
    <t>C3-059</t>
  </si>
  <si>
    <t>C3-060</t>
  </si>
  <si>
    <t>C3-061</t>
  </si>
  <si>
    <t>(i) terrorist offences or offences linked to terrorist activities, as defined in Articles 1 and 3 of Framework Decision 2002/475/JHA*;</t>
  </si>
  <si>
    <t>(j) an offence in connection with proceeds of drug trafficking within the meaning of section 49, 50 or 51 of the Drug Trafficking Act 1994; or</t>
  </si>
  <si>
    <t>(k) in Scotland, the offence of incitement to commit any of the crimes described in Regulation 23(1);</t>
  </si>
  <si>
    <t>(l) any other offence within the meaning of Article 39(1) of the Defence and Security Procurement Directive 2009/81/EC as defined by the national law of any member State.</t>
  </si>
  <si>
    <t>* including any amendments to the legislation identified</t>
  </si>
  <si>
    <t>Regulation requires that Defence and Security Public Contracts procurers exclude any applicant from the tender process who satisfies any of the criteria for rejection set out in Part 4, Regulation 23(1) of the DSPCR 2011. It is therefore essential that entities applying for pre-qualification are required to confirm that none of the circumstances set out in Part 4, Regulation 23(1) of the DSPCR 2011 apply to them or any member of an applicant group that they represent.</t>
  </si>
  <si>
    <t>Information required and description of information expected, which will be taken into account in assessment</t>
  </si>
  <si>
    <t>C3-062</t>
  </si>
  <si>
    <t>Do any of the circumstances as set out in Part 4 Regulation 23(4) of the Defence and Security Public Contracts Regulations 2011 (SI 1848), apply to the Applicant or to members of any Applicant Group? If yes, please supply details below.</t>
  </si>
  <si>
    <t>Defence and Security Public Contract Regulations 2011 Regulation 23(4) – Discretionary exclusion</t>
  </si>
  <si>
    <t>Defence and Security Public Contract Regulations 2011 Part 4 Regulation 23(1) – Mandatory exclusion</t>
  </si>
  <si>
    <t>C3-QD2</t>
  </si>
  <si>
    <t>Is any of the following true of your organization?</t>
  </si>
  <si>
    <t>C3-063</t>
  </si>
  <si>
    <t>C3-064</t>
  </si>
  <si>
    <t>C3-065</t>
  </si>
  <si>
    <t>C3-066</t>
  </si>
  <si>
    <t>C3-068</t>
  </si>
  <si>
    <t>C3-069</t>
  </si>
  <si>
    <t>C3-070</t>
  </si>
  <si>
    <t>(a) being an individual, is a person in respect of whom a debt relief order has been made or is bankrupt or has had a receiving order or administration order or bankruptcy restrictions order or debt relief restrictions order made against him or has made any composition or arrangement with or for the benefit of creditors or has made any conveyance or assignment for the benefit of creditors or appears unable to pay or to have no reasonable prospect of being able to pay, a debt within the meaning of Section 268 of the Insolvency Act 1986, or Article 242 of the Insolvency (Northern Ireland) Order 1989, or in Scotland has granted a trust deed for creditors or become otherwise apparently insolvent, or is the subject of a petition presented for sequestration of his estate, or is the subject of any similar procedure under the law of any other State;</t>
  </si>
  <si>
    <t>(b) being a partnership constituted under Scots law, has granted a trust deed or become otherwise apparently insolvent, or is the subject of a petition presented for sequestration of its estate;</t>
  </si>
  <si>
    <t>c) being a company or any other entity within the meaning of section 255 of the Enterprise Act 2002 has passed a resolution or is the subject of an order by the court for the company’s winding up otherwise than for the purpose of bona fide reconstruction or amalgamation, or has had a receiver, manager or administrator on behalf of a creditor appointed in respect of the company’s business or any part of the company’s business or is the subject of similar procedures under the law of any other State?</t>
  </si>
  <si>
    <t>Has your organization</t>
  </si>
  <si>
    <t>(a) been convicted of a criminal offence relating to the conduct of its business or profession, including, for example, any infringements of any national or foreign law on protecting security of information or the export of defence or security goods;</t>
  </si>
  <si>
    <t>(b) committed an act of grave misconduct in the course of its business or profession, including a breach of obligations regarding security of information or security of supply required by the contracting authority in accordance with Regulation 38 or 39 of the DSPCR during a previous contract;</t>
  </si>
  <si>
    <t>(c) been told by a contracting authority, that the Potential Provider does not to possess the reliability necessary to exclude risks to the security of the United Kingdom*;</t>
  </si>
  <si>
    <t>(e) failed to fulfil obligations relating to the payment of taxes under the law of any part of the United Kingdom or of the member State in which it is established;</t>
  </si>
  <si>
    <t>(d) failed to fulfil obligations relating to the payment of social security contributions under the law of any part of the United Kingdom or of the member State in which it is established;</t>
  </si>
  <si>
    <t>C3-QD2-2-a</t>
  </si>
  <si>
    <t>C3-QD2-2-b</t>
  </si>
  <si>
    <t>C3-QD2-2-c</t>
  </si>
  <si>
    <t>C3-QD2-2-d</t>
  </si>
  <si>
    <t>C3-QD2-2-e</t>
  </si>
  <si>
    <t>The Authority is entitled to exclude applicants from participating in this procurement if any of the above apply but it may decide to allow the applicant to proceed further. If the applicant cannot answer ‘No’ to every question it is possible that its application might not be accepted. In the event that any of the following do apply, the applicant should set out (in a separate annex) full details of the relevant incident and any remedial action taken subsequently. The information provided will be taken into account by the Authority in considering whether or not to allow the applicant to proceed further.</t>
  </si>
  <si>
    <t>PAS</t>
  </si>
  <si>
    <t>services</t>
  </si>
  <si>
    <t>works</t>
  </si>
  <si>
    <t>SA</t>
  </si>
  <si>
    <t>Less than £25k</t>
  </si>
  <si>
    <t>supplies</t>
  </si>
  <si>
    <t>What is the total contract value?</t>
  </si>
  <si>
    <t>ESPD</t>
  </si>
  <si>
    <t>Open Procedure</t>
  </si>
  <si>
    <t>Restricted Procedure</t>
  </si>
  <si>
    <t>Competitive Procedure with Negotiation</t>
  </si>
  <si>
    <t>Competitive Dialogue Procedure</t>
  </si>
  <si>
    <t>Innovation Partnership Procedure</t>
  </si>
  <si>
    <t>Terminology</t>
  </si>
  <si>
    <t>C1</t>
  </si>
  <si>
    <t>C2</t>
  </si>
  <si>
    <t>C3</t>
  </si>
  <si>
    <t>Core question modules</t>
  </si>
  <si>
    <t>Optional question modules</t>
  </si>
  <si>
    <t>O1</t>
  </si>
  <si>
    <t>C4</t>
  </si>
  <si>
    <t>O2</t>
  </si>
  <si>
    <t>O3</t>
  </si>
  <si>
    <t xml:space="preserve"> and a maximum of </t>
  </si>
  <si>
    <t>Question / Sub-question</t>
  </si>
  <si>
    <t>Request up to date accounts?</t>
  </si>
  <si>
    <t>Request up to date insurances?</t>
  </si>
  <si>
    <t>Other information required?</t>
  </si>
  <si>
    <t>Q4.1</t>
  </si>
  <si>
    <t>Q4.2</t>
  </si>
  <si>
    <t>Q4.3</t>
  </si>
  <si>
    <t>Q4.4</t>
  </si>
  <si>
    <t>Q4.5</t>
  </si>
  <si>
    <t>Q4.6</t>
  </si>
  <si>
    <t>Q4.7</t>
  </si>
  <si>
    <t>Q4.8</t>
  </si>
  <si>
    <t>Q4.9</t>
  </si>
  <si>
    <t>Q4.10</t>
  </si>
  <si>
    <t>Q5.1</t>
  </si>
  <si>
    <t>Q5.2</t>
  </si>
  <si>
    <t>Q5.3</t>
  </si>
  <si>
    <t>Q5.4</t>
  </si>
  <si>
    <t>Q5.5</t>
  </si>
  <si>
    <t>Is an ESP required?</t>
  </si>
  <si>
    <t>C1-Q12-5 Does the registration or certification cover all of the required criteria in this submission?
IF NO:  Please continue to C1-Q13-1</t>
  </si>
  <si>
    <t>Forecast of turnover for the current year and a statement of funding provided by the owners and/or the bank, or an alternative means of demonstrating financial status.</t>
  </si>
  <si>
    <t>Supplier’s unique reference to supporting information</t>
  </si>
  <si>
    <t>Insurance value - Product Liability</t>
  </si>
  <si>
    <t>Insurance value - Public/Third Party</t>
  </si>
  <si>
    <t>Insurance_Product</t>
  </si>
  <si>
    <t>C2-000</t>
  </si>
  <si>
    <t>C2-024</t>
  </si>
  <si>
    <t>Please select the one organization description that most closely matches your organization and provide information accordingly:</t>
  </si>
  <si>
    <t>Please enter the requested information in the response column:</t>
  </si>
  <si>
    <t>In respect of Regulations 57(1 and 2) of the Public Contracts Regulations 2015 the detailed grounds for mandatory exclusion of an organization are set out on the webpage –</t>
  </si>
  <si>
    <t>which should be referred to before completing these questions.</t>
  </si>
  <si>
    <t>Within the past five years, anywhere in the world, have you, your organization or any person who has powers of representation, decision or control in the organization been convicted of any of the offences within the summary (C3-QP2-1 to C3-QP2-8) below, and listed on the above referenced webpage?</t>
  </si>
  <si>
    <t>C3-QP1</t>
  </si>
  <si>
    <t>In respect of Regulation 57(3) and (4) of the Public Contracts Regulations 2015, the detailed grounds for mandatory and discretionary exclusion of an organization are set out on the webpage:</t>
  </si>
  <si>
    <t>which should be referred to before completing these questions.  Within the past three years, anywhere in the world, have any of the situations identified in C3- QP4-1 to C3-QP4-8(e) below applied, to you or your organization.</t>
  </si>
  <si>
    <t>Regulation 57 (8) of the Public Contracts Regulations 2015 - The detailed grounds for discretionary exclusion of an organization are set out on the webpage:</t>
  </si>
  <si>
    <t>If you have answered Yes to any of questions C3- QP4-1 to C3-QP4-8(e), provide
• details of the circumstances;
• explain what measures have been taken to demonstrate the reliability of the organization despite the existence of a relevant ground for exclusion (Self cleaning - see Regulation 57 (13 to 17) of the Public Contracts Regulations 2015);
• if relevant documentation is available electronically, indicate the web address, issuing authority or body and precise reference of the document.</t>
  </si>
  <si>
    <t>Misrepresentation and undue influence - Do any of the following statements apply to your organization?</t>
  </si>
  <si>
    <t>Check_1</t>
  </si>
  <si>
    <t>Check_2</t>
  </si>
  <si>
    <t>https://ec.europa.eu/growth/smes/business-friendly-environment/sme-definition_en</t>
  </si>
  <si>
    <t>Response?</t>
  </si>
  <si>
    <t>Please select 'i' and /or 'ii' for C4-Q1-1a, b and /or c, as appropriate, and for i, also state the CDM duty holder role(s) for which exemption is claimed</t>
  </si>
  <si>
    <t>CDM duty holder role(s) claimed</t>
  </si>
  <si>
    <t>i. one or more of the following CDM duty holder roles: contractor, principal contractor, designer, principal designer;</t>
  </si>
  <si>
    <t>ii. general health and safety: policy and capability;</t>
  </si>
  <si>
    <t>You have, within the last twelve months, successfully met the assessment requirements of a construction-related scheme in registered membership of the Safety Schemes in Procurement (SSIP) forum.</t>
  </si>
  <si>
    <t xml:space="preserve">In the circumstances set out in C4-Q1-1a) to C4-Q1-1c), if your organization meets the relevant criteria in respect of exemption categories i) and/or ii) below:
</t>
  </si>
  <si>
    <t>*Additional information to that relevant to the exemption(s) claimed could be required to demonstrate satisfactory organization and arrangements appropriate to the categories/roles not covered by such exemption(s).</t>
  </si>
  <si>
    <t>and you can provide the supporting information to evidence this, the following exemptions apply:
• for an exemption under i) or ii) above: questions C4-Q2 to C4-Q11 need not be completed
• for an exemption under i) above questions C4-Q12 to C4-Q22 also need not be completed in respect of the role(s) identified.
If you are not claiming an exemption, please move to question C4-Q2. However, if you are claiming exemption(s), but such exemption(s) does not cover all the categories/roles relevant to your application, please:
• complete questions C4-Q12 to C4-Q22 in respect of each relevant category/role not covered by an exemption; and
• provide any additional information required for C4-Q2 to C4-Q11 in respect of relevant categories/ roles that are not covered by an exemption.*</t>
  </si>
  <si>
    <t>Evidence of periodically reviewed general H&amp;S policy, signed and dated by a senior person within the organization. The H&amp;S policy should also contain the organization and arrangements. These should be relevant to the anticipated nature and scale of activity to be undertaken, and set out responsibilities for H&amp;S management at all levels in the organization.  (Organizations with fewer than 5 employees, see Note 4)</t>
  </si>
  <si>
    <t>Evidence that your organization implements procedures for carrying out relevant risk assessments and for developing and implementing safe systems of work (“method statements”).
Please provide indicative examples, which must include: the identification and control of any significant occupational health (not just safety) issues, appropriate to the work likely to be undertaken. (Organizations with fewer than 5 employees, see Note 4)
NOTE Risk assessments should focus on, and be proportionate to, the risks arising from the type of work to be undertaken. The need to reduce documentation requirements on microbusinesses in particular should be taken into account by buyers and assessment providers. Excessive bureaucracy associated with prequalification assessment can obscure the real H&amp;S issues to be considered, and even divert effort away from them.</t>
  </si>
  <si>
    <t>CDM duty holder related question selection:
The questions asked in C4-Q13 to C4-Q22 (in conjunction with questions C4-Q2 to C4-Q11) are appropriate for particular construction duties. Please indicate below which duty (or duties) best describes your organization’s activity and then only provide responses to the questions relevant to the duty (or duties) you have selected.
NOTE The questions refer to duty holders under the Construction (Design and Management) Regulations 2015, which defines the scope of “construction” activity. If your organization potentially fills more than one role (e.g. “Design and Build”), please provide responses to the questions applying to all relevant duty holder roles (e.g. Designer and Principal Contractor)</t>
  </si>
  <si>
    <t>Contractor/principal contractor(respond to red shaded questions C4-Q13 to C4-Q16)</t>
  </si>
  <si>
    <t>Designer/principal designer (respond to blue shaded
questions C4-Q18 to C4-Q19)</t>
  </si>
  <si>
    <t>Principal contractor (in addition to C4-Q13 to C4-Q16, also respond to yellow shaded question C4-Q17)</t>
  </si>
  <si>
    <t>Principal designer (in addition to C4-Q18 to C4-Q19, also respond to purple shaded questions C4-Q20 to C4-Q22)</t>
  </si>
  <si>
    <t>Evidence that your organization implements relevant training arrangements to ensure that employees/other workforce have sufficient skills and understanding to discharge their various duties. This should include refresher training on relevant good H&amp;S practice and, for CDM contractors and principal contractors, Construction Phase Plans (CPP) may be used to show how information is disseminated or communicated on-site (see note 5).</t>
  </si>
  <si>
    <t>Evidence that your organization maintains records of all RIDDOR reportable (see note 6) and other incidents for at least the last three years.
Evidence that your organization has an effective system for reviewing significant incidents, and recording any resulting action taken (including your response to any H&amp;S enforcement activity).</t>
  </si>
  <si>
    <t>Evidence showing how you address C4-Q18-1 to C4-Q18-4 below.
Provide relevant examples showing how risk was reduced through design.
NOTE Emphasis should be on practical, proportionate measures that address significant risks arising from designs for relevant construction, not on lengthy documentation about generic risks.
C4-Q18-1 Check that the client is aware of their duties</t>
  </si>
  <si>
    <t>Concise, practical examples, relevant and proportionate to the type of activity likely to be carried out, of how your organization meets the requirements of principal contractor. In particular, provide evidence of how you:
C4–Q17-1 Plan, manage, monitor and coordinate H&amp;S in the construction phase, including communication with the client, principal designer and contractors;</t>
  </si>
  <si>
    <t>Concise, practical examples, relevant and proportionate to the type of activity likely to be carried out, of how your organization meets the requirements of principal designer. In particular, evidence of how you:
C4–Q20-1 Help the client to meet its duties under CDM 2015</t>
  </si>
  <si>
    <t>As an employer, do you meet the requirements of the positive equality duties in relation to the Equalities Act 2010?</t>
  </si>
  <si>
    <t>NOTE This applies to both public and private procurement</t>
  </si>
  <si>
    <t>Q5</t>
  </si>
  <si>
    <t>Declaration</t>
  </si>
  <si>
    <t>Supplementary/additional questions</t>
  </si>
  <si>
    <t>I declare that to the best of my knowledge the answers submitted and information contained in this completed document (questionnaire) are correct and accurate.</t>
  </si>
  <si>
    <t>I declare that, upon request and without delay I will provide the certificates and/or documentary evidence referred to in this document.</t>
  </si>
  <si>
    <t>I understand that the information will be used in the selection process to assess my organization’s suitability to participate further in this procurement.</t>
  </si>
  <si>
    <t>I understand that the contracting authority may reject this submission in its entirety if there is a failure to answer all the relevant questions fully, or if false/misleading information or content is provided in any section.</t>
  </si>
  <si>
    <t>By completing this declaration you are agreeing with the statement above</t>
  </si>
  <si>
    <t>Details of person completing the Declaration.</t>
  </si>
  <si>
    <t>Signature:</t>
  </si>
  <si>
    <t>(an electronic signature is acceptable)</t>
  </si>
  <si>
    <t>Name:</t>
  </si>
  <si>
    <t>For and on behalf of:</t>
  </si>
  <si>
    <t>Date:</t>
  </si>
  <si>
    <r>
      <rPr>
        <b/>
        <sz val="10"/>
        <color theme="1"/>
        <rFont val="Arial"/>
        <family val="2"/>
      </rPr>
      <t xml:space="preserve">Parts 1 and 2: </t>
    </r>
    <r>
      <rPr>
        <sz val="10"/>
        <color theme="1"/>
        <rFont val="Arial"/>
        <family val="2"/>
      </rPr>
      <t xml:space="preserve"> Any supporting information to support the responses to Parts 1 and 2.  Please see the check list below for a summary of all the supporting information which may be required.</t>
    </r>
  </si>
  <si>
    <r>
      <rPr>
        <b/>
        <sz val="10"/>
        <color theme="1"/>
        <rFont val="Arial"/>
        <family val="2"/>
      </rPr>
      <t>Part 7:</t>
    </r>
    <r>
      <rPr>
        <sz val="10"/>
        <color theme="1"/>
        <rFont val="Arial"/>
        <family val="2"/>
      </rPr>
      <t xml:space="preserve">  The Form of Tender must be signed, in accordance with the instructions outlined in paragraph 1.11.4 of Document 1, and returned as a scanned PDF document.</t>
    </r>
  </si>
  <si>
    <r>
      <rPr>
        <b/>
        <sz val="10"/>
        <color theme="1"/>
        <rFont val="Arial"/>
        <family val="2"/>
      </rPr>
      <t xml:space="preserve">Part 4:  </t>
    </r>
    <r>
      <rPr>
        <sz val="10"/>
        <color theme="1"/>
        <rFont val="Arial"/>
        <family val="2"/>
      </rPr>
      <t>Please submit one word document per question for your response to the questions in Part 4.  The word document should include any appendices, where applicable and requested within the question.  Please see document 1 for further details on how to present the responses.</t>
    </r>
  </si>
  <si>
    <t>Core 2:  Financial information</t>
  </si>
  <si>
    <t>Accounts for an unincorporated business</t>
  </si>
  <si>
    <t>Accounts for a small company or limited liability partnership</t>
  </si>
  <si>
    <t>Financial information for a start-up business</t>
  </si>
  <si>
    <t>Accounts for a medium to large incorporated entity/audited accounts</t>
  </si>
  <si>
    <t>Accounts for other organisation type</t>
  </si>
  <si>
    <t>TBL</t>
  </si>
  <si>
    <t>TBL_PAS_C2_A</t>
  </si>
  <si>
    <t>TBL_PAS_C3_B</t>
  </si>
  <si>
    <t>TBL_PAS_C3_C</t>
  </si>
  <si>
    <t>TBL_PAS_C3_D</t>
  </si>
  <si>
    <t>Core 3: Business and professional standing</t>
  </si>
  <si>
    <t>TBL_PAS_C3_F</t>
  </si>
  <si>
    <t>TBL_PAS_C3_H</t>
  </si>
  <si>
    <t>C3-QD1-1-a</t>
  </si>
  <si>
    <t>C3-QD1-1-b</t>
  </si>
  <si>
    <t>C3-QD1-1-c</t>
  </si>
  <si>
    <t>C3-QD1-1-d</t>
  </si>
  <si>
    <t>C3-QD1-1-e</t>
  </si>
  <si>
    <t>C3-QD1-1-f</t>
  </si>
  <si>
    <t>C3-QD1-1-g</t>
  </si>
  <si>
    <t>C3-QD1-1-g-i</t>
  </si>
  <si>
    <t>C3-QD1-1-g-ii</t>
  </si>
  <si>
    <t>C3-QD1-1-g-iii</t>
  </si>
  <si>
    <t>C3-QD1-1-g-iv</t>
  </si>
  <si>
    <t>C3-QD1-1-g-v</t>
  </si>
  <si>
    <t>C3-QD1-1-g-vi</t>
  </si>
  <si>
    <t>C3-QD1-1-g-vii</t>
  </si>
  <si>
    <t>C3-QD1-1-g-viii</t>
  </si>
  <si>
    <t>C3-QD1-1-g-ix</t>
  </si>
  <si>
    <t>C3-QD1-1-g-x</t>
  </si>
  <si>
    <t>C3-QD1-1-g-xi</t>
  </si>
  <si>
    <t>C3-QD1-1-g-xii</t>
  </si>
  <si>
    <t>C3-QD1-1-h</t>
  </si>
  <si>
    <t>C3-QD1-1-i</t>
  </si>
  <si>
    <t>C3-QD1-1-j</t>
  </si>
  <si>
    <t>C3-QD1-1-k</t>
  </si>
  <si>
    <t>C3-QD1-1-l</t>
  </si>
  <si>
    <t>Q. Ref</t>
  </si>
  <si>
    <t>TBL_PAS_C3_I</t>
  </si>
  <si>
    <t>TBL_PAS_C3_J</t>
  </si>
  <si>
    <t>TBL_PAS_C4_B</t>
  </si>
  <si>
    <t>General policy to ensure effective health and safety management</t>
  </si>
  <si>
    <t>Arrangements to ensure health and safety measures are effective</t>
  </si>
  <si>
    <t>Access to competent health and safety advice/assistance</t>
  </si>
  <si>
    <t>Process for providing employees/other workforce with training, etc.</t>
  </si>
  <si>
    <t>Employees/other workforce have relevant knowledge</t>
  </si>
  <si>
    <t>Procedures for involving your employees/other workforce</t>
  </si>
  <si>
    <t>Record and review accidents/incidents and undertake follow-up action</t>
  </si>
  <si>
    <t>Suppliers also apply health and safety measures</t>
  </si>
  <si>
    <t>Core 4:  Health and safety policy and capability</t>
  </si>
  <si>
    <t>Check, review and improve health and safety performance</t>
  </si>
  <si>
    <t>Process of risk assessment</t>
  </si>
  <si>
    <t>TBL_PAS_C4_D</t>
  </si>
  <si>
    <t>Arrangements for cooperating / co-ordinating with others</t>
  </si>
  <si>
    <t>Arrangements for ensuring on-site welfare</t>
  </si>
  <si>
    <t>Evidence of the skills, knowledge and experience</t>
  </si>
  <si>
    <t>Review and develop contractor/principal contractor role effectiveness</t>
  </si>
  <si>
    <t>Prepare, review and maintain CPPs</t>
  </si>
  <si>
    <t>Organize cooperation/coordination between contractors and others</t>
  </si>
  <si>
    <t>Ensure relevant and suitable site inductions</t>
  </si>
  <si>
    <t>Plan, manage, monitor and coordinate the construction phase</t>
  </si>
  <si>
    <t>Provide information for the health and safety file</t>
  </si>
  <si>
    <t>Check that the client is aware of their duties</t>
  </si>
  <si>
    <t>Discharging legal duties under CDM 2015</t>
  </si>
  <si>
    <t>Ensuring significant risks are eliminated by design</t>
  </si>
  <si>
    <t>Effectively manage design changes</t>
  </si>
  <si>
    <t>Review and monitor design performance</t>
  </si>
  <si>
    <t>Help clients meet their duties under CDM 2015</t>
  </si>
  <si>
    <t>Actions during the pre-construction phase</t>
  </si>
  <si>
    <t>Identifying, eliminating or controlling foreseeable risks</t>
  </si>
  <si>
    <t>Ensuring designers carry out their duties</t>
  </si>
  <si>
    <t>Liaising with the principal contractor</t>
  </si>
  <si>
    <t>Providing information to other duty holders, including the H&amp;S file</t>
  </si>
  <si>
    <t>Reviewing / developing effectiveness in the principal designer role</t>
  </si>
  <si>
    <t>O1-Q10-1</t>
  </si>
  <si>
    <t>O1-Q10-2</t>
  </si>
  <si>
    <t>O1-Q10-3</t>
  </si>
  <si>
    <t>TBL_PAS_O1</t>
  </si>
  <si>
    <t>Cell reference</t>
  </si>
  <si>
    <t>TBL_PAS_O2_B</t>
  </si>
  <si>
    <t>TBL_PAS_O3_B</t>
  </si>
  <si>
    <t>TBL_PAS_O4_B</t>
  </si>
  <si>
    <t>PCG or Performance bond?</t>
  </si>
  <si>
    <t>Supplier_Name</t>
  </si>
  <si>
    <t>Lot_1_Price_1</t>
  </si>
  <si>
    <t>Lot_1_Price_2</t>
  </si>
  <si>
    <t>Lot_1_Price_3</t>
  </si>
  <si>
    <t>Lot_1_Price_4</t>
  </si>
  <si>
    <t>Lot_1_Price_5</t>
  </si>
  <si>
    <t>Lot_1_Price_6</t>
  </si>
  <si>
    <t>Lot_1_Price_7</t>
  </si>
  <si>
    <t>Lot_1_Price_8</t>
  </si>
  <si>
    <t>Lot_1_Price_9</t>
  </si>
  <si>
    <t>Lot_1_Price_10</t>
  </si>
  <si>
    <t>Lot_2_Price_1</t>
  </si>
  <si>
    <t>Lot_2_Price_2</t>
  </si>
  <si>
    <t>Lot_2_Price_3</t>
  </si>
  <si>
    <t>Lot_2_Price_4</t>
  </si>
  <si>
    <t>Lot_2_Price_5</t>
  </si>
  <si>
    <t>Lot_2_Price_6</t>
  </si>
  <si>
    <t>Lot_2_Price_7</t>
  </si>
  <si>
    <t>Lot_2_Price_8</t>
  </si>
  <si>
    <t>Lot_2_Price_9</t>
  </si>
  <si>
    <t>Lot_2_Price_10</t>
  </si>
  <si>
    <t>Lot_3_Price_1</t>
  </si>
  <si>
    <t>Lot_3_Price_2</t>
  </si>
  <si>
    <t>Lot_3_Price_3</t>
  </si>
  <si>
    <t>Lot_3_Price_4</t>
  </si>
  <si>
    <t>Lot_3_Price_5</t>
  </si>
  <si>
    <t>Lot_3_Price_6</t>
  </si>
  <si>
    <t>Lot_3_Price_7</t>
  </si>
  <si>
    <t>Lot_3_Price_8</t>
  </si>
  <si>
    <t>Lot_3_Price_9</t>
  </si>
  <si>
    <t>Lot_3_Price_10</t>
  </si>
  <si>
    <t>Lot_4_Price_1</t>
  </si>
  <si>
    <t>Lot_4_Price_2</t>
  </si>
  <si>
    <t>Lot_4_Price_3</t>
  </si>
  <si>
    <t>Lot_4_Price_4</t>
  </si>
  <si>
    <t>Lot_4_Price_5</t>
  </si>
  <si>
    <t>Lot_4_Price_6</t>
  </si>
  <si>
    <t>Lot_4_Price_7</t>
  </si>
  <si>
    <t>Lot_4_Price_8</t>
  </si>
  <si>
    <t>Lot_4_Price_9</t>
  </si>
  <si>
    <t>Lot_4_Price_10</t>
  </si>
  <si>
    <t>Lot_5_Price_1</t>
  </si>
  <si>
    <t>Lot_5_Price_2</t>
  </si>
  <si>
    <t>Lot_5_Price_3</t>
  </si>
  <si>
    <t>Lot_5_Price_4</t>
  </si>
  <si>
    <t>Lot_5_Price_5</t>
  </si>
  <si>
    <t>Lot_5_Price_6</t>
  </si>
  <si>
    <t>Lot_5_Price_7</t>
  </si>
  <si>
    <t>Lot_5_Price_8</t>
  </si>
  <si>
    <t>Lot_5_Price_9</t>
  </si>
  <si>
    <t>Lot_5_Price_10</t>
  </si>
  <si>
    <t>Submitting?</t>
  </si>
  <si>
    <t>Please provide details of up to three contracts, in any combination from either the public or private sector; voluntary, charity or social enterprise (VCSE) that are relevant to our requirement. VCSEs may include samples of grant-funded work. Contracts for supplies or services should have been performed during the past three years. Works contracts may be from the past five years. 
The named contact provided should be able to provide written evidence to confirm the accuracy of the information provided below.
Consortia bids should provide relevant examples of where the consortium has delivered similar requirements. If this is not possible (e.g. the consortium is newly formed or a Special Purpose Vehicle is to be created for this contract) then three separate examples should be provided between the principal member(s) of the proposed consortium or Special Purpose Vehicle (three examples are not required from each member).
Where the Supplier is a Special Purpose Vehicle, or a managing agent not intending to be the main provider of the supplies or services, the information requested should be provided in respect of the main intended provider(s) or subcontractor(s) who will deliver the contract.
If you cannot provide examples see question Q6.3</t>
  </si>
  <si>
    <t>Q6.2.1</t>
  </si>
  <si>
    <t>Q6.2.2</t>
  </si>
  <si>
    <t>Q6.2.3</t>
  </si>
  <si>
    <t>Q6.2.4</t>
  </si>
  <si>
    <t>Q6.2.5</t>
  </si>
  <si>
    <t>Q6.2.6</t>
  </si>
  <si>
    <t>Q6.2.7</t>
  </si>
  <si>
    <t>Q6.2.8</t>
  </si>
  <si>
    <t>Q6.2.9</t>
  </si>
  <si>
    <t>Q6.2.10</t>
  </si>
  <si>
    <t>Q6.3.1</t>
  </si>
  <si>
    <t>Q6.3.2</t>
  </si>
  <si>
    <t>Q6.3.3</t>
  </si>
  <si>
    <t>Q6.3.4</t>
  </si>
  <si>
    <t>Q6.3.5</t>
  </si>
  <si>
    <t>Q6.3.6</t>
  </si>
  <si>
    <t>Q6.3.7</t>
  </si>
  <si>
    <t>Q6.3.8</t>
  </si>
  <si>
    <t>Q6.3.9</t>
  </si>
  <si>
    <t>Q6.3.10</t>
  </si>
  <si>
    <t>C1_Complete?</t>
  </si>
  <si>
    <t>C2_Complete?</t>
  </si>
  <si>
    <t>C3_Complete?</t>
  </si>
  <si>
    <t>C4_Complete?</t>
  </si>
  <si>
    <t>O1_Complete?</t>
  </si>
  <si>
    <t>C3_D&amp;S_Complete?</t>
  </si>
  <si>
    <t>C3_Private_Complete?</t>
  </si>
  <si>
    <t>O2_Complete?</t>
  </si>
  <si>
    <t>O3_Complete?</t>
  </si>
  <si>
    <t>O4_Complete?</t>
  </si>
  <si>
    <t>C1_Q1_Tenderer</t>
  </si>
  <si>
    <t>C1_Q2_Reg_Address_1</t>
  </si>
  <si>
    <t>C1_Q2_Reg_Address_2</t>
  </si>
  <si>
    <t>C1_Q2_Reg_Address_3</t>
  </si>
  <si>
    <t>C1_Q2_Reg_Address_4</t>
  </si>
  <si>
    <t>C1_Q2_Reg_Address_5</t>
  </si>
  <si>
    <t>C1_Q2_Reg_Address_6</t>
  </si>
  <si>
    <t>C1_Q2_Website</t>
  </si>
  <si>
    <t>C1_Q3_Title</t>
  </si>
  <si>
    <t>C1_Q3_Forename</t>
  </si>
  <si>
    <t>C1_Q3_Surname</t>
  </si>
  <si>
    <t>C1_Q3_Job</t>
  </si>
  <si>
    <t>C1_Q3_email</t>
  </si>
  <si>
    <t>C1_Q3_Telephone</t>
  </si>
  <si>
    <t>C1_Q3_Fax</t>
  </si>
  <si>
    <t>C1_Q3_Address_1</t>
  </si>
  <si>
    <t>C1_Q3_Address_2</t>
  </si>
  <si>
    <t>C1_Q3_Address_3</t>
  </si>
  <si>
    <t>C1_Q3_Address_4</t>
  </si>
  <si>
    <t>C1_Q3_Address_5</t>
  </si>
  <si>
    <t>C1_Q3_Address_6</t>
  </si>
  <si>
    <t>C1_Q4_RegNo.</t>
  </si>
  <si>
    <t>C1_Q4_RegNo.Other</t>
  </si>
  <si>
    <t>C1_Q5_Charity</t>
  </si>
  <si>
    <t>C1_Q6_VAT</t>
  </si>
  <si>
    <t>C1_Q7_IPC</t>
  </si>
  <si>
    <t>C1_Q8_UPC</t>
  </si>
  <si>
    <t>C1_Q9_OrgType</t>
  </si>
  <si>
    <t>C1_Q9_OrgDetails</t>
  </si>
  <si>
    <t>C1_Q10_SME</t>
  </si>
  <si>
    <t>C1_Q11_1</t>
  </si>
  <si>
    <t>C1_Q11_2</t>
  </si>
  <si>
    <t>C1_Q11_3</t>
  </si>
  <si>
    <t>C1_Q12_NonUK_1</t>
  </si>
  <si>
    <t>C1_Q12_NonUK_2</t>
  </si>
  <si>
    <t>C1_Q12_NonUK_3</t>
  </si>
  <si>
    <t>C1_Q12_NonUK_4</t>
  </si>
  <si>
    <t>C1_Q13_Model_1</t>
  </si>
  <si>
    <t>C1_Q12_NonUK_5</t>
  </si>
  <si>
    <t>C1_Q12_NonUK_6</t>
  </si>
  <si>
    <t>C1_Q13_Model_2</t>
  </si>
  <si>
    <t>C1_Q13_Model_3</t>
  </si>
  <si>
    <t>C1_Q13_Model_4</t>
  </si>
  <si>
    <t>C2_Q1_1</t>
  </si>
  <si>
    <t>C2_Q1_2</t>
  </si>
  <si>
    <t>C2_Q1_3</t>
  </si>
  <si>
    <t>C2_Q1_4</t>
  </si>
  <si>
    <t>C2_Q1_5</t>
  </si>
  <si>
    <t>C2_Q2_Employers_No</t>
  </si>
  <si>
    <t>C2_Q2_Employers_Limit</t>
  </si>
  <si>
    <t>C2_Q2_Employers_Excess</t>
  </si>
  <si>
    <t>C2_Q2_Employers_Event</t>
  </si>
  <si>
    <t>C2_Q2_Employers_Date</t>
  </si>
  <si>
    <t>C2_Q2_Third_No</t>
  </si>
  <si>
    <t>C2_Q2_Third_Limit</t>
  </si>
  <si>
    <t>C2_Q2_Third_Excess</t>
  </si>
  <si>
    <t>C2_Q2_Third_Event</t>
  </si>
  <si>
    <t>C2_Q2_Third_Date</t>
  </si>
  <si>
    <t>C2_Q2_PI_No</t>
  </si>
  <si>
    <t>C2_Q2_PI_Limit</t>
  </si>
  <si>
    <t>C2_Q2_PI_Event</t>
  </si>
  <si>
    <t>C2_Q2_PI_Date</t>
  </si>
  <si>
    <t>C2_Q2_Product_No</t>
  </si>
  <si>
    <t>C2_Q2_Product_Limit</t>
  </si>
  <si>
    <t>C2_Q2_Product_Event</t>
  </si>
  <si>
    <t>C2_Q2_Product_Date</t>
  </si>
  <si>
    <t>C3_QP1</t>
  </si>
  <si>
    <t>C3_QP2_1</t>
  </si>
  <si>
    <t>C3_QP2_2</t>
  </si>
  <si>
    <t>C3_QP2_3</t>
  </si>
  <si>
    <t>C3_QP2_4</t>
  </si>
  <si>
    <t>C3_QP2_5</t>
  </si>
  <si>
    <t>C3_QP2_6</t>
  </si>
  <si>
    <t>C3_QP2_7</t>
  </si>
  <si>
    <t>C3_QP2_8</t>
  </si>
  <si>
    <t>C3_QP2_9</t>
  </si>
  <si>
    <t>C3_QP2_10</t>
  </si>
  <si>
    <t>C3_QP3_1</t>
  </si>
  <si>
    <t>C3_QP3_2</t>
  </si>
  <si>
    <t>C3_QP3_3</t>
  </si>
  <si>
    <t>C3_QP3_4_a</t>
  </si>
  <si>
    <t>C3_QP3_4_b</t>
  </si>
  <si>
    <t>C3_QP3_4_c</t>
  </si>
  <si>
    <t>C3_QP3_4</t>
  </si>
  <si>
    <t>C3_QP4_1</t>
  </si>
  <si>
    <t>C3_QP4_2</t>
  </si>
  <si>
    <t>C3_QP4_3</t>
  </si>
  <si>
    <t>C3_QP4_4</t>
  </si>
  <si>
    <t>C3_QP4_5</t>
  </si>
  <si>
    <t>C3_QP4_6</t>
  </si>
  <si>
    <t>C3_QP4_7</t>
  </si>
  <si>
    <t>C3_QP4_8</t>
  </si>
  <si>
    <t>C3_QP4_82</t>
  </si>
  <si>
    <t>C3_QP4_83</t>
  </si>
  <si>
    <t>C3_QP4_84</t>
  </si>
  <si>
    <t>C3_QP4_85</t>
  </si>
  <si>
    <t>C3_QP4_86</t>
  </si>
  <si>
    <t>C3_QP4_9</t>
  </si>
  <si>
    <t>O3_QP1</t>
  </si>
  <si>
    <t>C3_QD1_1_a</t>
  </si>
  <si>
    <t>C3_QD1_1_b</t>
  </si>
  <si>
    <t>C3_QD1_1_c</t>
  </si>
  <si>
    <t>C3_QD1_1_d</t>
  </si>
  <si>
    <t>C3_QD1_1_e</t>
  </si>
  <si>
    <t>C3_QD1_1_f</t>
  </si>
  <si>
    <t>C3_QD1_1_g_i</t>
  </si>
  <si>
    <t>C3_QD1_1_g_ii</t>
  </si>
  <si>
    <t>C3_QD1_1_g_iii</t>
  </si>
  <si>
    <t>C3_QD1_1_g_iv</t>
  </si>
  <si>
    <t>C3_QD1_1_g_v</t>
  </si>
  <si>
    <t>C3_QD1_1_g_vi</t>
  </si>
  <si>
    <t>C3_QD1_1_g_vii</t>
  </si>
  <si>
    <t>C3_QD1_1_g_viii</t>
  </si>
  <si>
    <t>C3_QD1_1_g_ix</t>
  </si>
  <si>
    <t>C3_QD1_1_g_x</t>
  </si>
  <si>
    <t>C3_QD1_1_g_xi</t>
  </si>
  <si>
    <t>C3_QD1_1_g_xii</t>
  </si>
  <si>
    <t>C3_QD1_1_h</t>
  </si>
  <si>
    <t>C3_QD1_1_i</t>
  </si>
  <si>
    <t>C3_QD1_1_j</t>
  </si>
  <si>
    <t>C3_QD1_1_k</t>
  </si>
  <si>
    <t>C3_QD1_1_l</t>
  </si>
  <si>
    <t>C3_QD2</t>
  </si>
  <si>
    <t>C3_QD2_1_a</t>
  </si>
  <si>
    <t>C3_QD2_1_b</t>
  </si>
  <si>
    <t>C3_QD2_1_c</t>
  </si>
  <si>
    <t>C3_QD2_2_a</t>
  </si>
  <si>
    <t>C3_QD2_2_b</t>
  </si>
  <si>
    <t>C3_QD2_2_c</t>
  </si>
  <si>
    <t>C3_QD2_2_d</t>
  </si>
  <si>
    <t>C3_QD2_2_e</t>
  </si>
  <si>
    <t>C3_Q1</t>
  </si>
  <si>
    <t>C3_Q2</t>
  </si>
  <si>
    <t>C3_Q3</t>
  </si>
  <si>
    <t>C4_Q1_1</t>
  </si>
  <si>
    <t>C4_Q1_2</t>
  </si>
  <si>
    <t>C4_Q1_3</t>
  </si>
  <si>
    <t>C4_Q2</t>
  </si>
  <si>
    <t>C4_Q3</t>
  </si>
  <si>
    <t>C4_Q4</t>
  </si>
  <si>
    <t>C4_Q5</t>
  </si>
  <si>
    <t>C4_Q6</t>
  </si>
  <si>
    <t>C4_Q7</t>
  </si>
  <si>
    <t>C4_Q8</t>
  </si>
  <si>
    <t>C4_Q9</t>
  </si>
  <si>
    <t>C4_Q10</t>
  </si>
  <si>
    <t>C4_Q11</t>
  </si>
  <si>
    <t>C4_Q12_1</t>
  </si>
  <si>
    <t>C4_Q12_2</t>
  </si>
  <si>
    <t>C4_Q12_3</t>
  </si>
  <si>
    <t>C4_Q12_4</t>
  </si>
  <si>
    <t>C4_Q13</t>
  </si>
  <si>
    <t>C4_Q14</t>
  </si>
  <si>
    <t>C4_Q15</t>
  </si>
  <si>
    <t>C4_Q16</t>
  </si>
  <si>
    <t>C4_Q17_1</t>
  </si>
  <si>
    <t>C4_Q17_2</t>
  </si>
  <si>
    <t>C4_Q17_3</t>
  </si>
  <si>
    <t>C4_Q17_4</t>
  </si>
  <si>
    <t>C4_Q17_5</t>
  </si>
  <si>
    <t>C4_Q18_1</t>
  </si>
  <si>
    <t>C4_Q18_2</t>
  </si>
  <si>
    <t>C4_Q18_3</t>
  </si>
  <si>
    <t>C4_Q18_4</t>
  </si>
  <si>
    <t>C4_Q19</t>
  </si>
  <si>
    <t>C4_Q20_1</t>
  </si>
  <si>
    <t>C4_Q20_2</t>
  </si>
  <si>
    <t>C4_Q20_3</t>
  </si>
  <si>
    <t>C4_Q20_4</t>
  </si>
  <si>
    <t>C4_Q20_5</t>
  </si>
  <si>
    <t>C4_Q20_6</t>
  </si>
  <si>
    <t>C4_Q21</t>
  </si>
  <si>
    <t>C4_Q22</t>
  </si>
  <si>
    <t>O1_Q1_1</t>
  </si>
  <si>
    <t>O1_Q1_2</t>
  </si>
  <si>
    <t>O1_Q1_3</t>
  </si>
  <si>
    <t>O1_Q1_4</t>
  </si>
  <si>
    <t>O1_Q2</t>
  </si>
  <si>
    <t>O1_Q3</t>
  </si>
  <si>
    <t>O1_Q4</t>
  </si>
  <si>
    <t>O1_Q5</t>
  </si>
  <si>
    <t>O1_Q6</t>
  </si>
  <si>
    <t>O1_Q7</t>
  </si>
  <si>
    <t>O1_Q8</t>
  </si>
  <si>
    <t>O1_Q9</t>
  </si>
  <si>
    <t>O1_Q10_1</t>
  </si>
  <si>
    <t>O1_Q10_2</t>
  </si>
  <si>
    <t>O1_Q10_3</t>
  </si>
  <si>
    <t>O2_Q1</t>
  </si>
  <si>
    <t>O2_Q2</t>
  </si>
  <si>
    <t>O2_Q3</t>
  </si>
  <si>
    <t>O2_Q4</t>
  </si>
  <si>
    <t>O2_Q5</t>
  </si>
  <si>
    <t>O2_Q6</t>
  </si>
  <si>
    <t>O3_Q1</t>
  </si>
  <si>
    <t>O3_Q2</t>
  </si>
  <si>
    <t>O3_Q3</t>
  </si>
  <si>
    <t>O3_Q4</t>
  </si>
  <si>
    <t>O3_Q5</t>
  </si>
  <si>
    <t>O3_Q6</t>
  </si>
  <si>
    <t>O4_Q1</t>
  </si>
  <si>
    <t>O4_Q2</t>
  </si>
  <si>
    <t>O4_Q3</t>
  </si>
  <si>
    <t>O4_Q4</t>
  </si>
  <si>
    <t>O4_Q5</t>
  </si>
  <si>
    <t>NOTE 1</t>
  </si>
  <si>
    <t>NOTE 2</t>
  </si>
  <si>
    <t>NOTE 3</t>
  </si>
  <si>
    <t>Assessors should not request unnecessary paperwork and may not necessarily require evidence of all the examples in column 3 of above Tables. Suppliers (including contractors, consultants and others) should only be required to produce enough evidence to show that they meet the relevant criteria, taking account of the nature of activities/projects likely to be involved, and the hazards and risks. This requires assessors to make a judgement as to whether the evidence provided meets the standard to be achieved. If that judgement is reasonable, and clearly based on the evidence requested, assessors cannot be criticised if the supplier they appoint subsequently proves not to have the necessary capability (essential knowledge, skills and experience) when carrying out the activity.</t>
  </si>
  <si>
    <t>For suppliers that will be CDM duty holders – The core questions in the above Tables align with legal requirements on the relevant duty holder under the Construction (Design and Management) Regulations (CDM 2015).</t>
  </si>
  <si>
    <t>For suppliers that will be CDM duty holders – Asking the questions in the above Tables does not remove the buyer’s requirement to make further enquiries about the supplier’s H&amp;S capability, as required for specific projects, services or other activities.</t>
  </si>
  <si>
    <r>
      <rPr>
        <b/>
        <sz val="10"/>
        <rFont val="Arial"/>
        <family val="2"/>
      </rPr>
      <t>Stage 1</t>
    </r>
    <r>
      <rPr>
        <sz val="10"/>
        <rFont val="Arial"/>
        <family val="2"/>
      </rPr>
      <t>:  An assessment of the supplier’s organization and arrangements for H&amp;S, to determine whether these are sufficient to enable the supplier to carry out the activity safely and without risk to health. Stage 1 assessments assess the general (basic) capability of the supplier and are within the scope of PAS 91.</t>
    </r>
  </si>
  <si>
    <r>
      <rPr>
        <b/>
        <sz val="10"/>
        <rFont val="Arial"/>
        <family val="2"/>
      </rPr>
      <t>Stage 2</t>
    </r>
    <r>
      <rPr>
        <sz val="10"/>
        <rFont val="Arial"/>
        <family val="2"/>
      </rPr>
      <t>:  Stage 2 assessments are outside the scope of PAS 91*. They involve an additional assessment of the supplier’s experience, technical capability and track record, to establish that: it is capable of carrying out the actual construction activity/project required (i.e. project, activity or service-specific enquiries), and notably in relation to higher hazard activity; that the supplier recognizes any limitations and how these should be overcome; and appreciates the hazards associated with the activity and how the risk should be effectively controlled.</t>
    </r>
  </si>
  <si>
    <t>*Stage 2 assessments follow Stage 1 enquiries and they should not therefore be asked in relation to PAS 91 (although in the public sector only, stage 2 questions relating to previous experience will be asked in the prequalification questionnaire – if required by law).</t>
  </si>
  <si>
    <t>(g) fraud, where the offence relates to fraud affecting the financial interests of the European Communities as defined by Article 1 of the Convention relating to the protection of the financial interests of the European Union*, within the meaning of:</t>
  </si>
  <si>
    <t>Registration number, if registered with Companies House or equivalent</t>
  </si>
  <si>
    <t>You hold a certificate of compliance with BS OHSAS 18001 (or equivalent) issued by a Conformity Assessment Body accredited to provide conformity assessment services to that standard**, e.g. accredited by UKAS.</t>
  </si>
  <si>
    <t>**</t>
  </si>
  <si>
    <t>The questions in this module need not be completed if your organization holds a certificate of compliance with BS EN ISO 14001 (or equivalent) issued by a Conformity Assessment Body accredited to provide conformity assessment services to that standard**, e.g. accredited by UKAS, or you have a valid EMAS certificate, and can provide information to evidence this.</t>
  </si>
  <si>
    <t>In O2-Q,1 accredited means having undergone third-party attestation by an organization that is a signatory to either or both of the European Accreditation or International Accreditation Forum, multi-lateral agreements.</t>
  </si>
  <si>
    <t>EMAS is the European Eco-management and Audit Scheme, sponsored by the European Commission (see:</t>
  </si>
  <si>
    <t>http://eceuropaeu/environment/emas/index_Enhtm</t>
  </si>
  <si>
    <t>In C4-Q1-1c) accredited means having undergone third-party attestation by an organization that is a signatory to either or both of the European Accreditation or International Accreditation Forum, multi-lateral agreements.</t>
  </si>
  <si>
    <t>The questions O3-Q2 to O3-Q6, need not be completed if your organization holds a certificate of compliance with BS EN ISO 9001(or equivalent) issued by a Conformity Assessment Body accredited to provide conformity assessment services to that standard** e.g. accredited by UKAS, and can provide information to evidence this.</t>
  </si>
  <si>
    <t>In O3-Q1 accredited means having undergone third-party attestation by an organization that is a signatory to either or both of the European Accreditation or International Accreditation Forum, multi-lateral agreements.</t>
  </si>
  <si>
    <t>C1-Q12-1 If applicable, is your organization registered on an official list of approved economic operators or does it have an equivalent certificate (e.g. under a national (pre)qualification system)?
IF YES:  Please complete C1-Q12-2 to C1-Q12-6 below.</t>
  </si>
  <si>
    <t>Doc_Date</t>
  </si>
  <si>
    <t>Marking methodology</t>
  </si>
  <si>
    <t>Tech_Marking</t>
  </si>
  <si>
    <t>IntSV_Marking</t>
  </si>
  <si>
    <t>Q6.1.4</t>
  </si>
  <si>
    <t>Q6.1.5</t>
  </si>
  <si>
    <t>Q6.1.6</t>
  </si>
  <si>
    <t>Q6.1.7</t>
  </si>
  <si>
    <t>Q6.1.8</t>
  </si>
  <si>
    <t>Q6.1.9</t>
  </si>
  <si>
    <t>Q6.1.10</t>
  </si>
  <si>
    <t>Draft for SQ stage or final?</t>
  </si>
  <si>
    <t>Draft</t>
  </si>
  <si>
    <t>No (Closed list)</t>
  </si>
  <si>
    <t>ISFT_Min</t>
  </si>
  <si>
    <t>ISFT_Max</t>
  </si>
  <si>
    <t>All</t>
  </si>
  <si>
    <t>Supplier_Type</t>
  </si>
  <si>
    <t>Lot_5_ITT_Min</t>
  </si>
  <si>
    <t>Lot_5_ITT_Max</t>
  </si>
  <si>
    <t>Lot_5_Neg_Min</t>
  </si>
  <si>
    <t>Lot_5_Neg_Max</t>
  </si>
  <si>
    <t>Lot_5_ISFT_Min</t>
  </si>
  <si>
    <t>Lot_5_ISFT_Max</t>
  </si>
  <si>
    <t>Lot_4_ITT_Min</t>
  </si>
  <si>
    <t>Lot_4_ITT_Max</t>
  </si>
  <si>
    <t>Lot_4_Neg_Min</t>
  </si>
  <si>
    <t>Lot_4_Neg_Max</t>
  </si>
  <si>
    <t>Lot_4_ISFT_Min</t>
  </si>
  <si>
    <t>Lot_4_ISFT_Max</t>
  </si>
  <si>
    <t>Lot_3_ITT_Min</t>
  </si>
  <si>
    <t>Lot_3_ITT_Max</t>
  </si>
  <si>
    <t>Lot_3_Neg_Min</t>
  </si>
  <si>
    <t>Lot_3_Neg_Max</t>
  </si>
  <si>
    <t>Lot_3_ISFT_Min</t>
  </si>
  <si>
    <t>Lot_3_ISFT_Max</t>
  </si>
  <si>
    <t>Lot_2_ITT_Min</t>
  </si>
  <si>
    <t>Lot_2_ITT_Max</t>
  </si>
  <si>
    <t>Lot_2_Neg_Min</t>
  </si>
  <si>
    <t>Lot_2_Neg_Max</t>
  </si>
  <si>
    <t>Lot_2_ISFT_Min</t>
  </si>
  <si>
    <t>Lot_2_ISFT_Max</t>
  </si>
  <si>
    <t>Lot_1_ITT_Min</t>
  </si>
  <si>
    <t>Lot_1_ITT_Max</t>
  </si>
  <si>
    <t>Lot_1_Neg_Min</t>
  </si>
  <si>
    <t>Lot_1_Neg_Max</t>
  </si>
  <si>
    <t>Lot_1_ISFT_Min</t>
  </si>
  <si>
    <t>Lot_1_ISFT_Max</t>
  </si>
  <si>
    <t>Product liability insurance</t>
  </si>
  <si>
    <t>C2-Q2-4</t>
  </si>
  <si>
    <t>Professional indemnity insurance</t>
  </si>
  <si>
    <t>C2-Q2-3</t>
  </si>
  <si>
    <t>C2-Q2-2</t>
  </si>
  <si>
    <t>C2-Q2-1</t>
  </si>
  <si>
    <t>Employers’ liability insurance</t>
  </si>
  <si>
    <t>Public liability insurance</t>
  </si>
  <si>
    <t>TBL_PAS_C2_B</t>
  </si>
  <si>
    <t>This Document 3 relates to</t>
  </si>
  <si>
    <t>Property type</t>
  </si>
  <si>
    <t>properties</t>
  </si>
  <si>
    <t>site</t>
  </si>
  <si>
    <t>sites</t>
  </si>
  <si>
    <t>estate</t>
  </si>
  <si>
    <t>property</t>
  </si>
  <si>
    <t>estates</t>
  </si>
  <si>
    <t>block</t>
  </si>
  <si>
    <t>blocks</t>
  </si>
  <si>
    <t>Insurance requirements and guarantees</t>
  </si>
  <si>
    <t>Lot_1_Approx</t>
  </si>
  <si>
    <t>Lot_2_Approx</t>
  </si>
  <si>
    <t>Lot_3_Approx</t>
  </si>
  <si>
    <t>Lot_4_Approx</t>
  </si>
  <si>
    <t>Lot_5_Approx</t>
  </si>
  <si>
    <t>Lot_1_Type</t>
  </si>
  <si>
    <t>Lot_2_Type</t>
  </si>
  <si>
    <t>Lot_3_Type</t>
  </si>
  <si>
    <t>Lot_5_Type</t>
  </si>
  <si>
    <t>including in respect of organizational technical and/or professional capability</t>
  </si>
  <si>
    <t>Technical and Profession Ability - Project Specific Questions</t>
  </si>
  <si>
    <t>Project delivery questions</t>
  </si>
  <si>
    <t xml:space="preserve">s must answer all questions in this Section. The responses will be assessed to ascertain the </t>
  </si>
  <si>
    <t xml:space="preserve">’s / Group's level of technical experience, competence, capacity and expertise in relation to the </t>
  </si>
  <si>
    <t xml:space="preserve"> for which it is applying.</t>
  </si>
  <si>
    <t xml:space="preserve">When responding to the questions set out below, the </t>
  </si>
  <si>
    <t xml:space="preserve"> / Group must ensure that a full and accurate description of experience is provided in a clear and meaningful manner.  The </t>
  </si>
  <si>
    <t xml:space="preserve"> / Group in this regard must further demonstrate they have the ability, skills, experience, properly qualified and trained personnel at all levels, support systems and other resources including equipment to fulfil the high standards of quality and delivery required by the Contracting Authority.</t>
  </si>
  <si>
    <t xml:space="preserve">The </t>
  </si>
  <si>
    <t xml:space="preserve">Therefore following the assessment of the </t>
  </si>
  <si>
    <t xml:space="preserve"> / Groups' responses to technical questions set out below, the Contract Authority will </t>
  </si>
  <si>
    <t xml:space="preserve">only progress to the next stage of the evaluation, those </t>
  </si>
  <si>
    <t xml:space="preserve">s / Groups who have achieved a minimum score of </t>
  </si>
  <si>
    <t xml:space="preserve">s who achieved the highest scroes.  It is envisiage that the client will invite a minimum of </t>
  </si>
  <si>
    <t xml:space="preserve">Invite to Tender those </t>
  </si>
  <si>
    <t>s should refer to Part 1 of Document 1 for further instructions on how to present the responses.</t>
  </si>
  <si>
    <t>s / Groups are to note that the Contracting Authority wishes to ensure that only suitably qualified and experienced organisations are considered for this contract.</t>
  </si>
  <si>
    <t xml:space="preserve"> / Group hereby confirms that the Contracting Authority may contact the Clients / Employers stated below for the subject case studies contracts in order to obtain a reference for the purpose of validating the answer to this question only.</t>
  </si>
  <si>
    <t>Lot_4_Type</t>
  </si>
  <si>
    <t>Lot_Ref</t>
  </si>
  <si>
    <t>Heading</t>
  </si>
  <si>
    <t>Details of Lot 2</t>
  </si>
  <si>
    <t>Supporting information at Tender/Final Tender stage?</t>
  </si>
  <si>
    <t>Project Delivery Questions-Evaluation</t>
  </si>
  <si>
    <t>Details of Lot 3</t>
  </si>
  <si>
    <t>Details of Lot 4</t>
  </si>
  <si>
    <t>Details of Lot 5</t>
  </si>
  <si>
    <t>What is the maximum no. they can win?</t>
  </si>
  <si>
    <t>Do Candidates need to submit a copy of accounts?</t>
  </si>
  <si>
    <t>Is the client part of central government?</t>
  </si>
  <si>
    <t>Public Sector procurement?</t>
  </si>
  <si>
    <t>Defence and Security procurement?</t>
  </si>
  <si>
    <t>Equal opportunity, diversity policy &amp; capability</t>
  </si>
  <si>
    <t>Environmental management policy &amp; capability</t>
  </si>
  <si>
    <t>Quality management policy &amp; capability</t>
  </si>
  <si>
    <t>Building information modelling policy &amp; capability</t>
  </si>
  <si>
    <t>Interview or Site Visit?</t>
  </si>
  <si>
    <t>Use the same questions for all lots?</t>
  </si>
  <si>
    <t>One set of responses required?</t>
  </si>
  <si>
    <t>Weight individual questions?</t>
  </si>
  <si>
    <t>Interview or Site Visit Questions-Evaluation</t>
  </si>
  <si>
    <t>Maximum weighting for all questions</t>
  </si>
  <si>
    <t>Name of this lot</t>
  </si>
  <si>
    <t>Description for this lot</t>
  </si>
  <si>
    <t>Final tender - Min. no. to invite for this lot?</t>
  </si>
  <si>
    <t>Final tender - Max. no. to invite for this lot?</t>
  </si>
  <si>
    <t>Property type for this lot</t>
  </si>
  <si>
    <t>R_Check</t>
  </si>
  <si>
    <t>C_Check</t>
  </si>
  <si>
    <t>Advise interview/site visit slots</t>
  </si>
  <si>
    <t>Interview/site visit start date</t>
  </si>
  <si>
    <t>Interview/site visit end date</t>
  </si>
  <si>
    <t>D_Check</t>
  </si>
  <si>
    <r>
      <rPr>
        <b/>
        <sz val="10"/>
        <color theme="1"/>
        <rFont val="Arial"/>
        <family val="2"/>
      </rPr>
      <t>Part 3 - Q5</t>
    </r>
    <r>
      <rPr>
        <sz val="10"/>
        <color theme="1"/>
        <rFont val="Arial"/>
        <family val="2"/>
      </rPr>
      <t xml:space="preserve"> </t>
    </r>
    <r>
      <rPr>
        <b/>
        <sz val="10"/>
        <color theme="1"/>
        <rFont val="Arial"/>
        <family val="2"/>
      </rPr>
      <t>- Declaration:</t>
    </r>
    <r>
      <rPr>
        <sz val="10"/>
        <color theme="1"/>
        <rFont val="Arial"/>
        <family val="2"/>
      </rPr>
      <t xml:space="preserve"> must be signed, in accordance with the instructions outlined in paragraph 1.12.4 of Document 1, and returned as a scanned PDF document.</t>
    </r>
  </si>
  <si>
    <r>
      <rPr>
        <b/>
        <sz val="10"/>
        <color theme="1"/>
        <rFont val="Arial"/>
        <family val="2"/>
      </rPr>
      <t xml:space="preserve">Part 3 - Q6:  </t>
    </r>
    <r>
      <rPr>
        <sz val="10"/>
        <color theme="1"/>
        <rFont val="Arial"/>
        <family val="2"/>
      </rPr>
      <t>Please submit one word document per question for your response to the questions in Part 3 - Q6.  The word document should include any appendices, where applicable and requested within the question.  Please see document 1 for further details on how to present the responses.</t>
    </r>
  </si>
  <si>
    <r>
      <rPr>
        <b/>
        <sz val="10"/>
        <color theme="1"/>
        <rFont val="Arial"/>
        <family val="2"/>
      </rPr>
      <t xml:space="preserve">Part 3 - Q6 and Part 4:  </t>
    </r>
    <r>
      <rPr>
        <sz val="10"/>
        <color theme="1"/>
        <rFont val="Arial"/>
        <family val="2"/>
      </rPr>
      <t>Please submit one word document per question for your response to the questions in Part 3 - Q6 and Part 4.  The word document should include any appendices, where applicable and requested within the question.  Please see document 1 for further details on how to present the responses.</t>
    </r>
  </si>
  <si>
    <t>Q6.1 and Q6.3 option?</t>
  </si>
  <si>
    <t>LUp_CCSValues</t>
  </si>
  <si>
    <t>LUp_Restricted</t>
  </si>
  <si>
    <t>LUp_Competitive</t>
  </si>
  <si>
    <t>LUp_TenderType</t>
  </si>
  <si>
    <t>LUp_PropType</t>
  </si>
  <si>
    <t>LUp_Procedure</t>
  </si>
  <si>
    <t>Select_Qs</t>
  </si>
  <si>
    <t>Select_Points</t>
  </si>
  <si>
    <t>Select_Min</t>
  </si>
  <si>
    <t>Tech_Qs</t>
  </si>
  <si>
    <t>Tech_Points</t>
  </si>
  <si>
    <t>IntSV_Qs</t>
  </si>
  <si>
    <t>IntSV_Points</t>
  </si>
  <si>
    <t>LUp_Advertise</t>
  </si>
  <si>
    <t>LUp_Portal_Name</t>
  </si>
  <si>
    <t>LUp_Contract_type</t>
  </si>
  <si>
    <t>Lists / Data_V_Min</t>
  </si>
  <si>
    <t>Data_V_Max</t>
  </si>
  <si>
    <t>LUp_YesNo</t>
  </si>
  <si>
    <t>LUp_Lots</t>
  </si>
  <si>
    <t>Procedure information</t>
  </si>
  <si>
    <t>Document information</t>
  </si>
  <si>
    <t>PAS optional modules to include?</t>
  </si>
  <si>
    <t>CCS SQ information</t>
  </si>
  <si>
    <t>Which Selection / Suitability assessment to include?</t>
  </si>
  <si>
    <t>N/A - Alternative</t>
  </si>
  <si>
    <t>LUp_Contract_List</t>
  </si>
  <si>
    <t>exactly</t>
  </si>
  <si>
    <t>approximately</t>
  </si>
  <si>
    <t>LUp_Approx</t>
  </si>
  <si>
    <t>Service Provider</t>
  </si>
  <si>
    <t>Contractor</t>
  </si>
  <si>
    <t>Consultant</t>
  </si>
  <si>
    <t>Constructor</t>
  </si>
  <si>
    <t>LUp_ProviderType</t>
  </si>
  <si>
    <t>Provider</t>
  </si>
  <si>
    <t>Contract Administrator</t>
  </si>
  <si>
    <t>Client Representative</t>
  </si>
  <si>
    <t>Alliance Manager</t>
  </si>
  <si>
    <t>LUp_CAType</t>
  </si>
  <si>
    <t>Contract duration and values</t>
  </si>
  <si>
    <t>days</t>
  </si>
  <si>
    <t>weeks</t>
  </si>
  <si>
    <t>months</t>
  </si>
  <si>
    <t>years</t>
  </si>
  <si>
    <t>LUp_DurUnit</t>
  </si>
  <si>
    <t>RPI</t>
  </si>
  <si>
    <t>CPI</t>
  </si>
  <si>
    <t>BMI</t>
  </si>
  <si>
    <t>BCIS</t>
  </si>
  <si>
    <t>LUp_Uplift</t>
  </si>
  <si>
    <t>Enter £0, if not applicable</t>
  </si>
  <si>
    <t>Other (please state in comments)</t>
  </si>
  <si>
    <t>Format</t>
  </si>
  <si>
    <t>Thousand</t>
  </si>
  <si>
    <t>Whole</t>
  </si>
  <si>
    <t>£</t>
  </si>
  <si>
    <t>Contract Value (minimum)</t>
  </si>
  <si>
    <t>Contract Value (maximum)</t>
  </si>
  <si>
    <t>Contract Value type</t>
  </si>
  <si>
    <t>Details of Lot 1</t>
  </si>
  <si>
    <t>Number of properties applicable to this lot</t>
  </si>
  <si>
    <t>Initial tender - Min. no. to invite for this lot?</t>
  </si>
  <si>
    <t>Initial tender - Max. no. to invite for this lot?</t>
  </si>
  <si>
    <t>Negotiations - Min. no. to invite for this lot?</t>
  </si>
  <si>
    <t>Negotiations - Max. no. to invite for this lot?</t>
  </si>
  <si>
    <t>Props_Type</t>
  </si>
  <si>
    <t>Props_Approx</t>
  </si>
  <si>
    <t>Props_No</t>
  </si>
  <si>
    <t>Award information</t>
  </si>
  <si>
    <t>Will the Supplier prices be subject to uplifts?</t>
  </si>
  <si>
    <t>Supplier, Service Provider, Consultant?</t>
  </si>
  <si>
    <t>Min no. Suppliers to be appointed</t>
  </si>
  <si>
    <t>Max no. Suppliers to be appointed</t>
  </si>
  <si>
    <t>Min no. Suppliers to be appointed to this lot</t>
  </si>
  <si>
    <t>Max no. Suppliers to be appointed to this lot</t>
  </si>
  <si>
    <t>Procuring ICT, Facilities management or business processing outsourcing?</t>
  </si>
  <si>
    <t>Maximum value of the contract, or any call-off contract?</t>
  </si>
  <si>
    <t>LUp_ValueType</t>
  </si>
  <si>
    <t>Range</t>
  </si>
  <si>
    <t>Single figure</t>
  </si>
  <si>
    <t>Jennifer Hopkins</t>
  </si>
  <si>
    <t>Senior Procurement Manager</t>
  </si>
  <si>
    <t>Associate Partner</t>
  </si>
  <si>
    <t>Scott Moran</t>
  </si>
  <si>
    <t>Assistant Quantity Surveyor</t>
  </si>
  <si>
    <t>Alan Orchard</t>
  </si>
  <si>
    <t>LUp_W_S_S</t>
  </si>
  <si>
    <t>LUp_works</t>
  </si>
  <si>
    <t>LUp_services</t>
  </si>
  <si>
    <t>LUp_supplies</t>
  </si>
  <si>
    <t>LUp_Partnering</t>
  </si>
  <si>
    <t>LUp_JCT</t>
  </si>
  <si>
    <t>LUp_NHF</t>
  </si>
  <si>
    <t>LUp_NEC3_Contract</t>
  </si>
  <si>
    <t>LUp_RIBA</t>
  </si>
  <si>
    <t>LUp_SQ_List_1</t>
  </si>
  <si>
    <t>LUp_SQ_List_2</t>
  </si>
  <si>
    <t>LUp_SQ_List_3</t>
  </si>
  <si>
    <t>Y/N</t>
  </si>
  <si>
    <t>LUp_PCG</t>
  </si>
  <si>
    <t>PCG only</t>
  </si>
  <si>
    <t>Either</t>
  </si>
  <si>
    <t>Neither</t>
  </si>
  <si>
    <t>Performance Bond only</t>
  </si>
  <si>
    <t>LUp_Marks</t>
  </si>
  <si>
    <t>0 to 5</t>
  </si>
  <si>
    <t>0 to 10</t>
  </si>
  <si>
    <t>Not applicable</t>
  </si>
  <si>
    <t>Interview</t>
  </si>
  <si>
    <t>Site Visit</t>
  </si>
  <si>
    <t>LUp_IntSV</t>
  </si>
  <si>
    <t>Consensus</t>
  </si>
  <si>
    <t>Average</t>
  </si>
  <si>
    <t>LUp_Marking</t>
  </si>
  <si>
    <t>Will the number of lots a Suppliers can win be limited?</t>
  </si>
  <si>
    <t>Selection Questions-Evaluation</t>
  </si>
  <si>
    <t>Do Suppliers need to submit award priorities?</t>
  </si>
  <si>
    <t>Questions for all Lots</t>
  </si>
  <si>
    <t>IntSV</t>
  </si>
  <si>
    <t>Works contracts may be from the past five years.</t>
  </si>
  <si>
    <t>Contracts for supplies or services should have been performed during the past three years.</t>
  </si>
  <si>
    <t>Contract details and brief description of the contract delivered including evidence as to your technical capability in this market</t>
  </si>
  <si>
    <t>Q_Limit</t>
  </si>
  <si>
    <t xml:space="preserve">  In addition, you may append </t>
  </si>
  <si>
    <t xml:space="preserve"> of A3 paper (or </t>
  </si>
  <si>
    <t xml:space="preserve"> sides of A4 paper) to support your response to </t>
  </si>
  <si>
    <t xml:space="preserve"> words.</t>
  </si>
  <si>
    <t>Apply</t>
  </si>
  <si>
    <t>Lots?</t>
  </si>
  <si>
    <t>Priority</t>
  </si>
  <si>
    <t>Include Selection questions?</t>
  </si>
  <si>
    <t>Office</t>
  </si>
  <si>
    <t>alanorchard@effefftee.co.uk</t>
  </si>
  <si>
    <t>emmapell@effefftee.co.uk</t>
  </si>
  <si>
    <t>franwright@effefftee.co.uk</t>
  </si>
  <si>
    <t>jenniferhopkins@effefftee.co.uk</t>
  </si>
  <si>
    <t>jenniferhopkins@effefftee.cymru</t>
  </si>
  <si>
    <t>Jon Grose</t>
  </si>
  <si>
    <t>jongrose@effefftee.co.uk</t>
  </si>
  <si>
    <t>juliewatts@effefftee.co.uk</t>
  </si>
  <si>
    <t>karenweeks@effefftee.co.uk</t>
  </si>
  <si>
    <t>leemaskell@effefftee.co.uk</t>
  </si>
  <si>
    <t>lynnbekir@effefftee.co.uk</t>
  </si>
  <si>
    <t>Other (Please specify)</t>
  </si>
  <si>
    <t>ADD DETAILS</t>
  </si>
  <si>
    <t>parisalewis@effefftee.co.uk</t>
  </si>
  <si>
    <t>parisalewis@effefftee.cymru</t>
  </si>
  <si>
    <t>paulsmith@effefftee.co.uk</t>
  </si>
  <si>
    <t>scottmoran@effefftee.co.uk</t>
  </si>
  <si>
    <t>sharlinepeters@effefftee.co.uk</t>
  </si>
  <si>
    <t>zero</t>
  </si>
  <si>
    <t>Email</t>
  </si>
  <si>
    <t>Email_Cymru</t>
  </si>
  <si>
    <t>LUp_Offices</t>
  </si>
  <si>
    <t>LUp_Names</t>
  </si>
  <si>
    <t>LUp_Yes</t>
  </si>
  <si>
    <t>LUp_Tender</t>
  </si>
  <si>
    <t>Dates</t>
  </si>
  <si>
    <t>Project Information</t>
  </si>
  <si>
    <t>QA information</t>
  </si>
  <si>
    <t>No. of 
sub-qs</t>
  </si>
  <si>
    <t>Question information tab</t>
  </si>
  <si>
    <t>Selection stage questions</t>
  </si>
  <si>
    <t>[Remove this row]</t>
  </si>
  <si>
    <t>Technical questions</t>
  </si>
  <si>
    <t>Interview / Site visit questions</t>
  </si>
  <si>
    <t>CCS_All</t>
  </si>
  <si>
    <t>CCS_Lot_1</t>
  </si>
  <si>
    <t>CCS_Lot_2</t>
  </si>
  <si>
    <t>CCS_Lot_3</t>
  </si>
  <si>
    <t>CCS_Lot_4</t>
  </si>
  <si>
    <t>CCS_Lot_5</t>
  </si>
  <si>
    <t>Dates information tab</t>
  </si>
  <si>
    <t>Price information tab</t>
  </si>
  <si>
    <t>Summary of evaluation tab</t>
  </si>
  <si>
    <t>Indicative date</t>
  </si>
  <si>
    <t>Notice</t>
  </si>
  <si>
    <t>Publish Notice and documents</t>
  </si>
  <si>
    <t>Return Date</t>
  </si>
  <si>
    <t>Evaluation period starts</t>
  </si>
  <si>
    <t>Evaluation period ends</t>
  </si>
  <si>
    <t>Award and mobilisation</t>
  </si>
  <si>
    <t>Mobilisation</t>
  </si>
  <si>
    <t>Open</t>
  </si>
  <si>
    <t>Activity_1</t>
  </si>
  <si>
    <t>Activity_2</t>
  </si>
  <si>
    <t>Date_1</t>
  </si>
  <si>
    <t>Date_2</t>
  </si>
  <si>
    <t>Publish Award Notice</t>
  </si>
  <si>
    <t>Price_firm</t>
  </si>
  <si>
    <t>Doc_Type</t>
  </si>
  <si>
    <t>Tender_Type</t>
  </si>
  <si>
    <t>Select_Marking</t>
  </si>
  <si>
    <t>Select_Points_Lot_1</t>
  </si>
  <si>
    <t>Select_Points_Lot_2</t>
  </si>
  <si>
    <t>Select_Points_Lot_3</t>
  </si>
  <si>
    <t>Select_Points_Lot_4</t>
  </si>
  <si>
    <t>Select_Points_Lot_5</t>
  </si>
  <si>
    <t>Select_Min_Lot_1</t>
  </si>
  <si>
    <t>Select_Min_Lot_2</t>
  </si>
  <si>
    <t>Select_Min_Lot_3</t>
  </si>
  <si>
    <t>Select_Min_Lot_4</t>
  </si>
  <si>
    <t>Select_Min_Lot_5</t>
  </si>
  <si>
    <t>PAS_or_SQ</t>
  </si>
  <si>
    <t>Lotted</t>
  </si>
  <si>
    <t>Advertised</t>
  </si>
  <si>
    <t>Notice_ref</t>
  </si>
  <si>
    <t>Notice_published</t>
  </si>
  <si>
    <t>Approx</t>
  </si>
  <si>
    <t>Props</t>
  </si>
  <si>
    <t>Select_Include</t>
  </si>
  <si>
    <t>CCS_Q_Option</t>
  </si>
  <si>
    <t>Select_1_Qs</t>
  </si>
  <si>
    <t>Select_1_Response</t>
  </si>
  <si>
    <t>Select_Weighted</t>
  </si>
  <si>
    <t>Tech_1_Qs</t>
  </si>
  <si>
    <t>Tech_1_Response</t>
  </si>
  <si>
    <t>Tech_Weighted</t>
  </si>
  <si>
    <t>IntSV_1_Qs</t>
  </si>
  <si>
    <t>Limit_Wins</t>
  </si>
  <si>
    <t>Fin_Min</t>
  </si>
  <si>
    <t>Fin_Max</t>
  </si>
  <si>
    <t>DOC_Author</t>
  </si>
  <si>
    <t>DOC_Office</t>
  </si>
  <si>
    <t>DOC_Address</t>
  </si>
  <si>
    <t>DOC_No</t>
  </si>
  <si>
    <t>Request to Participate</t>
  </si>
  <si>
    <t>Invitation to Tender</t>
  </si>
  <si>
    <t>Invitation to Submit a</t>
  </si>
  <si>
    <t>Alternative</t>
  </si>
  <si>
    <t>Allow an 'alternative' submission?</t>
  </si>
  <si>
    <t>Contract Notice reference</t>
  </si>
  <si>
    <t>Split_Price</t>
  </si>
  <si>
    <t>Split_Tech</t>
  </si>
  <si>
    <t>IntSV_Weighted</t>
  </si>
  <si>
    <t>Advise_IntSV</t>
  </si>
  <si>
    <t>Final_Advise_IntSV</t>
  </si>
  <si>
    <t>Final_IntSV_Start</t>
  </si>
  <si>
    <t>Final_IntSV_End</t>
  </si>
  <si>
    <t>Select</t>
  </si>
  <si>
    <t>Contract</t>
  </si>
  <si>
    <t>Ref?</t>
  </si>
  <si>
    <t>Need?</t>
  </si>
  <si>
    <t>Opt_1</t>
  </si>
  <si>
    <t>Opt_2</t>
  </si>
  <si>
    <t>Opt_3</t>
  </si>
  <si>
    <t>Bullet point not used</t>
  </si>
  <si>
    <t>Issue_date</t>
  </si>
  <si>
    <t>Final_Issue_Date</t>
  </si>
  <si>
    <t>Neg_Start</t>
  </si>
  <si>
    <t>Neg_End</t>
  </si>
  <si>
    <t>IntSV_Dates</t>
  </si>
  <si>
    <t>Neg_Dates</t>
  </si>
  <si>
    <t>Final_IntSV_Dates</t>
  </si>
  <si>
    <t>Score</t>
  </si>
  <si>
    <t>Full_Name</t>
  </si>
  <si>
    <t>Short_Name</t>
  </si>
  <si>
    <t>Area</t>
  </si>
  <si>
    <t>W_S_S</t>
  </si>
  <si>
    <t>Value</t>
  </si>
  <si>
    <t>Select_Type</t>
  </si>
  <si>
    <t>No_Lots</t>
  </si>
  <si>
    <t>Doc_Lot</t>
  </si>
  <si>
    <t>contract_or_FW</t>
  </si>
  <si>
    <t>Contract_type</t>
  </si>
  <si>
    <t>FoC</t>
  </si>
  <si>
    <t>Supplier</t>
  </si>
  <si>
    <t>ESP</t>
  </si>
  <si>
    <t>CA</t>
  </si>
  <si>
    <t>TUPE</t>
  </si>
  <si>
    <t>TUPE_Info</t>
  </si>
  <si>
    <t>Duartion_type</t>
  </si>
  <si>
    <t>Duration_Max</t>
  </si>
  <si>
    <t>Duration_Min</t>
  </si>
  <si>
    <t>Annual_Renew</t>
  </si>
  <si>
    <t>Max_Lots</t>
  </si>
  <si>
    <t>Lot_Priorities</t>
  </si>
  <si>
    <t>Insurance_Public</t>
  </si>
  <si>
    <t>PCG</t>
  </si>
  <si>
    <t>Financial</t>
  </si>
  <si>
    <t>Accounts</t>
  </si>
  <si>
    <t>Central_Gov</t>
  </si>
  <si>
    <t>Outsourcing</t>
  </si>
  <si>
    <t>CallOff_Value</t>
  </si>
  <si>
    <t>Public</t>
  </si>
  <si>
    <t>D&amp;S</t>
  </si>
  <si>
    <t>EqualOps</t>
  </si>
  <si>
    <t>Enviro</t>
  </si>
  <si>
    <t>QM</t>
  </si>
  <si>
    <t>BIM</t>
  </si>
  <si>
    <t>Insurances</t>
  </si>
  <si>
    <t>Other</t>
  </si>
  <si>
    <t>Submit_Accounts</t>
  </si>
  <si>
    <t>Option to 'fail' i.e. if scores 0 or less than 3 on a sub-q</t>
  </si>
  <si>
    <t>Greater than £5.3M</t>
  </si>
  <si>
    <t>Greater than £25K, but below £213k</t>
  </si>
  <si>
    <t>Greater than £213K</t>
  </si>
  <si>
    <t>Greater than £25K, but below £213K</t>
  </si>
  <si>
    <t>Greater than £213K, but below £5.3M</t>
  </si>
  <si>
    <t>min_contracts</t>
  </si>
  <si>
    <t>Select_Fail</t>
  </si>
  <si>
    <t>Tech_Fail</t>
  </si>
  <si>
    <t>IntSV_Fail</t>
  </si>
  <si>
    <t>Value_Type</t>
  </si>
  <si>
    <t>[Filter to not</t>
  </si>
  <si>
    <t xml:space="preserve">show "Shade" </t>
  </si>
  <si>
    <t>and hide column]</t>
  </si>
  <si>
    <t>Price Framework</t>
  </si>
  <si>
    <t>SPD Option</t>
  </si>
  <si>
    <t>Have you submitted a completed Single Procurement Document (SPD)?
The remaining questions in this tab need not be completed if you have provided a completed and signed Single Procurement Document (SPD).</t>
  </si>
  <si>
    <t>Specific Compliance Details</t>
  </si>
  <si>
    <t>Policy/ Accreditation Number</t>
  </si>
  <si>
    <t>Expiry Date</t>
  </si>
  <si>
    <t>Value of cover</t>
  </si>
  <si>
    <t>Accreditation</t>
  </si>
  <si>
    <t>INSERT ACCREDITATION TYPE HERE</t>
  </si>
  <si>
    <t>Signed and details provided</t>
  </si>
  <si>
    <t>Confirmation that provided Accounts are signed and details provided of why unaudited, if relevant.</t>
  </si>
  <si>
    <t>Remember to populate the Checklist tab with relevant accreditations applicable to workstream</t>
  </si>
  <si>
    <t>Royal Borough of Greenwich</t>
  </si>
  <si>
    <t>Royal Greenwich</t>
  </si>
  <si>
    <t>The Woolwich Centre, 35 Wellington Street, Woolwich, SE18 6HQ.</t>
  </si>
  <si>
    <t>Areas of Greenwich, Greenwich Peninsula, Charlton, Plumstead, Kidbrooke, Eltham, Woolwich, Thamesmead and Abbey Wood</t>
  </si>
  <si>
    <t>Proactis</t>
  </si>
  <si>
    <t>NHF Schedule of Rates Adjustments</t>
  </si>
  <si>
    <t>Out of Hours Rate</t>
  </si>
  <si>
    <t>Daywork Rates</t>
  </si>
  <si>
    <t>Additional Rates</t>
  </si>
  <si>
    <t>Adjustment % (+ or -)</t>
  </si>
  <si>
    <t>Figure for evaluation purposes</t>
  </si>
  <si>
    <t>NHF V8.0 SoR Adjustment for undertaking Reactive Repairs Works</t>
  </si>
  <si>
    <t>NHF V8.0 SoR Adjustment for undertaking Void Refurbishment Works</t>
  </si>
  <si>
    <t>B001</t>
  </si>
  <si>
    <t>B002</t>
  </si>
  <si>
    <t>B003</t>
  </si>
  <si>
    <t>B004</t>
  </si>
  <si>
    <t>B005</t>
  </si>
  <si>
    <t>C001</t>
  </si>
  <si>
    <t>%</t>
  </si>
  <si>
    <t>D001</t>
  </si>
  <si>
    <t>D002</t>
  </si>
  <si>
    <t>General Building Craftsperson</t>
  </si>
  <si>
    <t>Roofer and Mate</t>
  </si>
  <si>
    <t>Plumber</t>
  </si>
  <si>
    <t>Gas Engineer</t>
  </si>
  <si>
    <t>Electrician</t>
  </si>
  <si>
    <t>Carpenter</t>
  </si>
  <si>
    <t>Labourer</t>
  </si>
  <si>
    <t>Daily</t>
  </si>
  <si>
    <t>Hourly</t>
  </si>
  <si>
    <t>Indicative Quantity</t>
  </si>
  <si>
    <t>Total (Rate x Qty)</t>
  </si>
  <si>
    <t>E001</t>
  </si>
  <si>
    <t>E002</t>
  </si>
  <si>
    <t>E003</t>
  </si>
  <si>
    <t>E004</t>
  </si>
  <si>
    <t>E005</t>
  </si>
  <si>
    <t>Prelims percentage</t>
  </si>
  <si>
    <t>Overheads percentage</t>
  </si>
  <si>
    <t>Profits percentage</t>
  </si>
  <si>
    <t>major and responsve repairs and void refurbishment works</t>
  </si>
  <si>
    <t>Major and Responsive Repairs and Void Refurbishment Contract</t>
  </si>
  <si>
    <t>Contact Details</t>
  </si>
  <si>
    <t>This Section is for information only</t>
  </si>
  <si>
    <t>Full name of the Organisation completing this document:</t>
  </si>
  <si>
    <t>Please provide the contact details for enquiries about this document:</t>
  </si>
  <si>
    <t>Postal address (Line 1)</t>
  </si>
  <si>
    <t>Postal address (Line 2)</t>
  </si>
  <si>
    <t>Postal address (Line 3)</t>
  </si>
  <si>
    <t>Postcode</t>
  </si>
  <si>
    <t>Country</t>
  </si>
  <si>
    <t>Phone</t>
  </si>
  <si>
    <t>Mobile</t>
  </si>
  <si>
    <t>E-mail</t>
  </si>
  <si>
    <t>Summary</t>
  </si>
  <si>
    <t>C002</t>
  </si>
  <si>
    <t>C003</t>
  </si>
  <si>
    <t>C004</t>
  </si>
  <si>
    <t>C005</t>
  </si>
  <si>
    <t>C006</t>
  </si>
  <si>
    <t>C007</t>
  </si>
  <si>
    <t>C008</t>
  </si>
  <si>
    <t>C009</t>
  </si>
  <si>
    <t>C010</t>
  </si>
  <si>
    <t>C011</t>
  </si>
  <si>
    <t>C012</t>
  </si>
  <si>
    <t>C013</t>
  </si>
  <si>
    <t>C014</t>
  </si>
  <si>
    <t>Adjusted Rate</t>
  </si>
  <si>
    <t>o</t>
  </si>
  <si>
    <t>TABLE A</t>
  </si>
  <si>
    <t>TABLE B</t>
  </si>
  <si>
    <t>Item</t>
  </si>
  <si>
    <t>B006</t>
  </si>
  <si>
    <t>B007</t>
  </si>
  <si>
    <t>B008</t>
  </si>
  <si>
    <t>B009</t>
  </si>
  <si>
    <t>B010</t>
  </si>
  <si>
    <t>B011</t>
  </si>
  <si>
    <t>B012</t>
  </si>
  <si>
    <t>B013</t>
  </si>
  <si>
    <t>B014</t>
  </si>
  <si>
    <t>B015</t>
  </si>
  <si>
    <t>B016</t>
  </si>
  <si>
    <t>B017</t>
  </si>
  <si>
    <t>B018</t>
  </si>
  <si>
    <t>B019</t>
  </si>
  <si>
    <t>B020</t>
  </si>
  <si>
    <t>B021</t>
  </si>
  <si>
    <t>B022</t>
  </si>
  <si>
    <t>B023</t>
  </si>
  <si>
    <t>B024</t>
  </si>
  <si>
    <t>Adjustment to the Schedule of Basket Rates in Table B</t>
  </si>
  <si>
    <t>UOM</t>
  </si>
  <si>
    <t xml:space="preserve">Adjustment </t>
  </si>
  <si>
    <t>Section 1 - NHF Schedule of Rates Adjustments</t>
  </si>
  <si>
    <t>Section 2 - Void Basket Rates</t>
  </si>
  <si>
    <t>Repairs</t>
  </si>
  <si>
    <t>Voids</t>
  </si>
  <si>
    <t>Daywork</t>
  </si>
  <si>
    <t>Additional</t>
  </si>
  <si>
    <t>Tenderers are to note that this rate is for information purposes only and will not form part of the evaluation</t>
  </si>
  <si>
    <t>Tenderers are to note that these rates are for information purposes only and will not form part of the evaluation</t>
  </si>
  <si>
    <t>Bedsit- Basic-With DHK order</t>
  </si>
  <si>
    <t>Bedsit- Basic-With DHB order</t>
  </si>
  <si>
    <t>Bedsit- Basic-With DHK &amp; DHB orders</t>
  </si>
  <si>
    <t>Bedsit- Super-With DHK order</t>
  </si>
  <si>
    <t>Bedsit- Super-With DHB order</t>
  </si>
  <si>
    <t>Bedsit- Super-With DHK &amp; DHB orders</t>
  </si>
  <si>
    <t>Flat 1 bed-Basic-With DHK order</t>
  </si>
  <si>
    <t>Flat 1 bed-Basic-With DHB order</t>
  </si>
  <si>
    <t>Flat 1 bed-Basic-With DHK &amp; DHB orders</t>
  </si>
  <si>
    <t>Flat 1 bed-Standard-With DHK order</t>
  </si>
  <si>
    <t>Flat 1 bed-Standard-With DHB order</t>
  </si>
  <si>
    <t>Flat 1 bed-Standard-With DHK &amp; DHB orders</t>
  </si>
  <si>
    <t>Flat 1 bed-Super-With DHK order</t>
  </si>
  <si>
    <t>Flat 1 bed-Super-With DHB order</t>
  </si>
  <si>
    <t>Flat 1 bed-Super-With DHK &amp; DHB orders</t>
  </si>
  <si>
    <t>Flat 2 bed-Basic-With DHK order</t>
  </si>
  <si>
    <t>Flat 2 bed-Basic-With DHB order</t>
  </si>
  <si>
    <t>Flat 2 bed-Basic-With DHK &amp; DHB orders</t>
  </si>
  <si>
    <t>Flat 2 bed-Standard-With DHK order</t>
  </si>
  <si>
    <t>Flat 2 bed-Standard-With DHB order</t>
  </si>
  <si>
    <t>Flat 2 bed-Standard-With DHK &amp; DHB orders</t>
  </si>
  <si>
    <t>Flat 2 bed-Super-With DHK order</t>
  </si>
  <si>
    <t>Flat 2 bed-Super-With DHB order</t>
  </si>
  <si>
    <t>Flat 2 bed-Super-With DHK &amp; DHB orders</t>
  </si>
  <si>
    <t>Flat 3 bed-Basic-With DHK order</t>
  </si>
  <si>
    <t>Flat 3 bed-Basic-With DHB order</t>
  </si>
  <si>
    <t>Flat 3 bed-Basic-With DHK &amp; DHB orders</t>
  </si>
  <si>
    <t>Flat 3 bed-Standard-With DHK order</t>
  </si>
  <si>
    <t>Flat 3 bed-Standard-With DHB order</t>
  </si>
  <si>
    <t>Flat 3 bed-Standard-With DHK &amp; DHB orders</t>
  </si>
  <si>
    <t>Flat 3 bed-Super-With DHK order</t>
  </si>
  <si>
    <t>Flat 3 bed-Super-With DHB order</t>
  </si>
  <si>
    <t>Flat 3 bed-Super-With DHK &amp; DHB orders</t>
  </si>
  <si>
    <t>Flat 4 bed-Basic-With DHK order</t>
  </si>
  <si>
    <t>Flat 4 bed-Basic-With DHB order</t>
  </si>
  <si>
    <t>Flat 4 bed-Basic-With DHK &amp; DHB orders</t>
  </si>
  <si>
    <t>Flat 4 bed-Standard-With DHK order</t>
  </si>
  <si>
    <t>Flat 4 bed-Standard-With DHB order</t>
  </si>
  <si>
    <t>Flat 4 bed-Standard-With DHK &amp; DHB orders</t>
  </si>
  <si>
    <t>Flat 4 bed-Super-With DHK order</t>
  </si>
  <si>
    <t>Flat 4 bed-Super-With DHB order</t>
  </si>
  <si>
    <t>Flat 4 bed-Super-With DHK &amp; DHB orders</t>
  </si>
  <si>
    <t>House 1 bed-Basic-With DHK order</t>
  </si>
  <si>
    <t>House 1 bed-Basic-With DHB order</t>
  </si>
  <si>
    <t>House 1 bed-Basic-With DHK &amp; DHB orders</t>
  </si>
  <si>
    <t>House 1 bed-Standard-With DHK order</t>
  </si>
  <si>
    <t>House 1 bed-Standard-With DHB order</t>
  </si>
  <si>
    <t>House 1 bed-Standard-With DHK &amp; DHB orders</t>
  </si>
  <si>
    <t>House 1 bed-Super-With DHK order</t>
  </si>
  <si>
    <t>House 1 bed-Super-With DHB order</t>
  </si>
  <si>
    <t>House 1 bed-Super-With DHK &amp; DHB orders</t>
  </si>
  <si>
    <t>House 2 bed-Basic-With DHK order</t>
  </si>
  <si>
    <t>House 2 bed-Basic-With DHB order</t>
  </si>
  <si>
    <t>House 2 bed-Basic-With DHK &amp; DHB orders</t>
  </si>
  <si>
    <t>House 2 bed-Standard-With DHK order</t>
  </si>
  <si>
    <t>House 2 bed-Standard-With DHB order</t>
  </si>
  <si>
    <t>House 2 bed-Standard-With DHK &amp; DHB orders</t>
  </si>
  <si>
    <t>House 2 bed-Super-With DHK order</t>
  </si>
  <si>
    <t>House 2 bed-Super-With DHB order</t>
  </si>
  <si>
    <t>House 2 bed-Super-With DHK &amp; DHB orders</t>
  </si>
  <si>
    <t>House 3 bed-Basic-With DHK order</t>
  </si>
  <si>
    <t>House 3 bed-Basic-With DHB order</t>
  </si>
  <si>
    <t>House 3 bed-Basic-With DHK &amp; DHB orders</t>
  </si>
  <si>
    <t>House 3 bed-Standard-With DHK order</t>
  </si>
  <si>
    <t>House 3 bed-Standard-With DHB order</t>
  </si>
  <si>
    <t>House 3 bed-Standard-With DHK &amp; DHB orders</t>
  </si>
  <si>
    <t>House 3 bed-Super-With DHK order</t>
  </si>
  <si>
    <t>House 3 bed-Super-With DHB order</t>
  </si>
  <si>
    <t>House 3 bed-Super-With DHK &amp; DHB orders</t>
  </si>
  <si>
    <t>House 4 bed-Basic-With DHK order</t>
  </si>
  <si>
    <t>House 4 bed-Basic-With DHB order</t>
  </si>
  <si>
    <t>House 4 bed-Basic-With DHK &amp; DHB orders</t>
  </si>
  <si>
    <t>House 4 bed-Standard-With DHK order</t>
  </si>
  <si>
    <t>House 4 bed-Standard-With DHB order</t>
  </si>
  <si>
    <t>House 4 bed-Standard-With DHK &amp; DHB orders</t>
  </si>
  <si>
    <t>House 4 bed-Super-With DHK order</t>
  </si>
  <si>
    <t>House 4 bed-Super-With DHB order</t>
  </si>
  <si>
    <t>House 4 bed-Super-With DHK &amp; DHB orders</t>
  </si>
  <si>
    <t>House 5 bed-Basic-With DHK order</t>
  </si>
  <si>
    <t>House 5 bed-Basic-With DHB order</t>
  </si>
  <si>
    <t>House 5 bed-Basic-With DHK &amp; DHB orders</t>
  </si>
  <si>
    <t>House 5 bed-Standard-With DHK order</t>
  </si>
  <si>
    <t>House 5 bed-Standard-With DHB order</t>
  </si>
  <si>
    <t>House 5 bed-Standard-With DHK &amp; DHB orders</t>
  </si>
  <si>
    <t>House 5 bed-Super-With DHK order</t>
  </si>
  <si>
    <t>House 5 bed-Super-With DHB order</t>
  </si>
  <si>
    <t>House 5 bed-Super-With DHK &amp; DHB orders</t>
  </si>
  <si>
    <t>House 3 bed parlour-Basic-With DHK order</t>
  </si>
  <si>
    <t>House 3 bed parlour-Basic-With DHB order</t>
  </si>
  <si>
    <t>House 3 bed parlour-Basic-With DHK &amp; DHB orders</t>
  </si>
  <si>
    <t>House 3 bed parlour-Standard-With DHK order</t>
  </si>
  <si>
    <t>House 3 bed parlour-Standard-With DHB order</t>
  </si>
  <si>
    <t>House 3 bed parlour-Standard-With DHK &amp; DHB orders</t>
  </si>
  <si>
    <t>House 3 bed parlour-Super-With DHK order</t>
  </si>
  <si>
    <t>House 3 bed parlour-Super-With DHB order</t>
  </si>
  <si>
    <t>House 3 bed parlour-Super-With DHK &amp; DHB orders</t>
  </si>
  <si>
    <t>House 4 bed parlour-Basic-With DHK order</t>
  </si>
  <si>
    <t>House 4 bed parlour-Basic-With DHB order</t>
  </si>
  <si>
    <t>House 4 bed parlour-Basic-With DHK &amp; DHB orders</t>
  </si>
  <si>
    <t>House 4 bed parlour-Standard-With DHK order</t>
  </si>
  <si>
    <t>House 4 bed parlour-Standard-With DHB order</t>
  </si>
  <si>
    <t>House 4 bed parlour-Standard-With DHK &amp; DHB orders</t>
  </si>
  <si>
    <t>House 4 bed parlour-Super-With DHK order</t>
  </si>
  <si>
    <t>House 4 bed parlour-Super-With DHB order</t>
  </si>
  <si>
    <t>House 4 bed parlour-Super-With DHK &amp; DHB orders</t>
  </si>
  <si>
    <t>B025</t>
  </si>
  <si>
    <t>B026</t>
  </si>
  <si>
    <t>B027</t>
  </si>
  <si>
    <t>B028</t>
  </si>
  <si>
    <t>B029</t>
  </si>
  <si>
    <t>B030</t>
  </si>
  <si>
    <t>B031</t>
  </si>
  <si>
    <t>B032</t>
  </si>
  <si>
    <t>B033</t>
  </si>
  <si>
    <t>B034</t>
  </si>
  <si>
    <t>B035</t>
  </si>
  <si>
    <t>B036</t>
  </si>
  <si>
    <t>B037</t>
  </si>
  <si>
    <t>B038</t>
  </si>
  <si>
    <t>B039</t>
  </si>
  <si>
    <t>B040</t>
  </si>
  <si>
    <t>B041</t>
  </si>
  <si>
    <t>B042</t>
  </si>
  <si>
    <t>B043</t>
  </si>
  <si>
    <t>B044</t>
  </si>
  <si>
    <t>B045</t>
  </si>
  <si>
    <t>B046</t>
  </si>
  <si>
    <t>B047</t>
  </si>
  <si>
    <t>B048</t>
  </si>
  <si>
    <t>B049</t>
  </si>
  <si>
    <t>B050</t>
  </si>
  <si>
    <t>B051</t>
  </si>
  <si>
    <t>B052</t>
  </si>
  <si>
    <t>B053</t>
  </si>
  <si>
    <t>B054</t>
  </si>
  <si>
    <t>B055</t>
  </si>
  <si>
    <t>B056</t>
  </si>
  <si>
    <t>B057</t>
  </si>
  <si>
    <t>B058</t>
  </si>
  <si>
    <t>B059</t>
  </si>
  <si>
    <t>B060</t>
  </si>
  <si>
    <t>B061</t>
  </si>
  <si>
    <t>B062</t>
  </si>
  <si>
    <t>B063</t>
  </si>
  <si>
    <t>B064</t>
  </si>
  <si>
    <t>B065</t>
  </si>
  <si>
    <t>B066</t>
  </si>
  <si>
    <t>B067</t>
  </si>
  <si>
    <t>B068</t>
  </si>
  <si>
    <t>B069</t>
  </si>
  <si>
    <t>B070</t>
  </si>
  <si>
    <t>B071</t>
  </si>
  <si>
    <t>B072</t>
  </si>
  <si>
    <t>B073</t>
  </si>
  <si>
    <t>B074</t>
  </si>
  <si>
    <t>B075</t>
  </si>
  <si>
    <t>B076</t>
  </si>
  <si>
    <t>B077</t>
  </si>
  <si>
    <t>B078</t>
  </si>
  <si>
    <t>B079</t>
  </si>
  <si>
    <t>B080</t>
  </si>
  <si>
    <t>B081</t>
  </si>
  <si>
    <t>B082</t>
  </si>
  <si>
    <t>B083</t>
  </si>
  <si>
    <t>B084</t>
  </si>
  <si>
    <t>B085</t>
  </si>
  <si>
    <t>B086</t>
  </si>
  <si>
    <t>B087</t>
  </si>
  <si>
    <t>B088</t>
  </si>
  <si>
    <t>B089</t>
  </si>
  <si>
    <t>B090</t>
  </si>
  <si>
    <t>B091</t>
  </si>
  <si>
    <t>B092</t>
  </si>
  <si>
    <t>B093</t>
  </si>
  <si>
    <t>B094</t>
  </si>
  <si>
    <t>B095</t>
  </si>
  <si>
    <t>B096</t>
  </si>
  <si>
    <t>B097</t>
  </si>
  <si>
    <t>B098</t>
  </si>
  <si>
    <t>B099</t>
  </si>
  <si>
    <t>B100</t>
  </si>
  <si>
    <t>B101</t>
  </si>
  <si>
    <t>B102</t>
  </si>
  <si>
    <t>B103</t>
  </si>
  <si>
    <t>B104</t>
  </si>
  <si>
    <t>B105</t>
  </si>
  <si>
    <t>B106</t>
  </si>
  <si>
    <t>B107</t>
  </si>
  <si>
    <t>B108</t>
  </si>
  <si>
    <t>B109</t>
  </si>
  <si>
    <t>B110</t>
  </si>
  <si>
    <t>B111</t>
  </si>
  <si>
    <t>B112</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</si>
  <si>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</si>
  <si>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</si>
  <si>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</si>
  <si>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</si>
  <si>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</si>
  <si>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</si>
  <si>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</si>
  <si>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</si>
  <si>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</si>
  <si>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</si>
  <si>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</si>
  <si>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</si>
  <si>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</si>
  <si>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</si>
  <si>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</si>
  <si>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</si>
  <si>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</si>
  <si>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</si>
  <si>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</si>
  <si>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</si>
  <si>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</si>
  <si>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</si>
  <si>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</si>
  <si>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</si>
  <si>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</si>
  <si>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</si>
  <si>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</si>
  <si>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</si>
  <si>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</si>
  <si>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Total For Evaluation</t>
  </si>
  <si>
    <t>Voids Adjusted Rate</t>
  </si>
  <si>
    <t>Repairs Adjusted Rate</t>
  </si>
  <si>
    <t>Totals (for evaluation):</t>
  </si>
  <si>
    <t>Bedsit - No DHK order</t>
  </si>
  <si>
    <t>Bedsit - with DHK order</t>
  </si>
  <si>
    <t>Flat 1 bed - No DHK order</t>
  </si>
  <si>
    <t>Flat 1 bed - with DHK order</t>
  </si>
  <si>
    <t>Flat 2 bed - No DHK order</t>
  </si>
  <si>
    <t>Flat 2 bed - with DHK order</t>
  </si>
  <si>
    <t>Flat 3 bed - No DHK order</t>
  </si>
  <si>
    <t>Flat 3 bed - with DHK order</t>
  </si>
  <si>
    <t>Flat 4 bed - No DHK order</t>
  </si>
  <si>
    <t>Flat 4 bed - with DHK order</t>
  </si>
  <si>
    <t>House 1 bed - No DHK order</t>
  </si>
  <si>
    <t>House 1 bed - with DHK order</t>
  </si>
  <si>
    <t>House 2 bed - No DHK order</t>
  </si>
  <si>
    <t>House 2 bed - with DHK order</t>
  </si>
  <si>
    <t>House 3 bed - No DHK order</t>
  </si>
  <si>
    <t>House 3 bed - with DHK order</t>
  </si>
  <si>
    <t>House 4 bed - No DHK order</t>
  </si>
  <si>
    <t>House 4 bed - with DHK order</t>
  </si>
  <si>
    <t>House 5 bed - No DHK order</t>
  </si>
  <si>
    <t>House 5 bed - with DHK order</t>
  </si>
  <si>
    <t>House 3 bed parlour - No DHK order</t>
  </si>
  <si>
    <t>House 3 bed parlour - with DHK order</t>
  </si>
  <si>
    <t>House 4 bed parlour - No DHK order</t>
  </si>
  <si>
    <t>House 4 bed parlour - with DHK order</t>
  </si>
  <si>
    <t>Section 3</t>
  </si>
  <si>
    <t>Electrics and Rewires Basket Rates</t>
  </si>
  <si>
    <t>Voids Basket Rates</t>
  </si>
  <si>
    <t>Basket Rates Adjustment for undertaking for Void refurbishments in Table B</t>
  </si>
  <si>
    <t>Basket Rates Adjustment for undertaking  Reactive Repairs in Table B</t>
  </si>
  <si>
    <t>Kitchen - Up to 6m² ceiling area INCLUDING electrics</t>
  </si>
  <si>
    <t>Kitchen - Up to 6m² ceiling area EXCLUDING electrics</t>
  </si>
  <si>
    <t>Kitchen - Up to 9m² ceiling area INCLUDING electrics</t>
  </si>
  <si>
    <t>Kitchen - Up to 9m² ceiling area EXCLUDING electrics</t>
  </si>
  <si>
    <t>Kitchen - Over 9m² ceiling area INCLUDING electrics</t>
  </si>
  <si>
    <t>Kitchen - Over 9m² ceiling area EXCLUDING electrics</t>
  </si>
  <si>
    <t>Bathroom with WC - Up to 8m² ceiling area INCLUDING electrics</t>
  </si>
  <si>
    <t>Bathroom with WC - Up to 8m² ceiling area EXCLUDING electrics</t>
  </si>
  <si>
    <t>Bathroom without WC - Up to 6m² ceiling area INCLUDING electrics</t>
  </si>
  <si>
    <t>Bathroom without WC - Up to 6m² ceiling area EXCLUDING electrics</t>
  </si>
  <si>
    <t>WC - Up to 3m² ceiling area INCLUDING electrics</t>
  </si>
  <si>
    <t>WC - Up to 3m² ceiling area EXCLUDING electrics</t>
  </si>
  <si>
    <t>C015</t>
  </si>
  <si>
    <t>C016</t>
  </si>
  <si>
    <t>C017</t>
  </si>
  <si>
    <t>C018</t>
  </si>
  <si>
    <t>C019</t>
  </si>
  <si>
    <t>C020</t>
  </si>
  <si>
    <t>C021</t>
  </si>
  <si>
    <t>C022</t>
  </si>
  <si>
    <t>C023</t>
  </si>
  <si>
    <t>C024</t>
  </si>
  <si>
    <t>C025</t>
  </si>
  <si>
    <t>C026</t>
  </si>
  <si>
    <t>D003</t>
  </si>
  <si>
    <t>D004</t>
  </si>
  <si>
    <t>D005</t>
  </si>
  <si>
    <t>D006</t>
  </si>
  <si>
    <t>D007</t>
  </si>
  <si>
    <t>D008</t>
  </si>
  <si>
    <t>D009</t>
  </si>
  <si>
    <t>D010</t>
  </si>
  <si>
    <t>D011</t>
  </si>
  <si>
    <t>D012</t>
  </si>
  <si>
    <t>D013</t>
  </si>
  <si>
    <t>D014</t>
  </si>
  <si>
    <t xml:space="preserve">NHF Schedule of Rates Repairs Adjustment </t>
  </si>
  <si>
    <t>NHF Schedule of Rates Voids Adjustment</t>
  </si>
  <si>
    <t>Electrics and Rewires Repairs Rates</t>
  </si>
  <si>
    <t>Electrics and Rewires Voids Rates</t>
  </si>
  <si>
    <t>Decent Homes Repairs Rates</t>
  </si>
  <si>
    <t>Decent Homes Voids Rates</t>
  </si>
  <si>
    <t>Repairs Total</t>
  </si>
  <si>
    <t>Voids Total</t>
  </si>
  <si>
    <t>Repairs NHF</t>
  </si>
  <si>
    <t>Repairs Electrics and Rewires Baskets</t>
  </si>
  <si>
    <t>Repairs Decent Homes Baskets</t>
  </si>
  <si>
    <t>Voids NHF</t>
  </si>
  <si>
    <t>Voids Baskets</t>
  </si>
  <si>
    <t>Voids Electrics and Rewires Baskets</t>
  </si>
  <si>
    <t>Voids Decent Homes Baskets</t>
  </si>
  <si>
    <t xml:space="preserve">Additional </t>
  </si>
  <si>
    <t>Price Heading</t>
  </si>
  <si>
    <t>Section 3 - Electrics and Rewire Basket Rates</t>
  </si>
  <si>
    <t>Section 4 - Decent Homes Basket Rates</t>
  </si>
  <si>
    <t>Section 5 - Daywork Rates</t>
  </si>
  <si>
    <t>Section 6 - Out of Hours Rate</t>
  </si>
  <si>
    <t>Section 7 - Additional Rates</t>
  </si>
  <si>
    <t>Price Element</t>
  </si>
  <si>
    <t>Out of Hours</t>
  </si>
  <si>
    <t>E006</t>
  </si>
  <si>
    <t>E007</t>
  </si>
  <si>
    <t>E008</t>
  </si>
  <si>
    <t>E009</t>
  </si>
  <si>
    <t>E010</t>
  </si>
  <si>
    <t>E011</t>
  </si>
  <si>
    <t>E012</t>
  </si>
  <si>
    <t>E013</t>
  </si>
  <si>
    <t>E014</t>
  </si>
  <si>
    <t>G001</t>
  </si>
  <si>
    <t>G002</t>
  </si>
  <si>
    <t>G003</t>
  </si>
  <si>
    <t>G004</t>
  </si>
  <si>
    <t>G005</t>
  </si>
  <si>
    <t>Section 4</t>
  </si>
  <si>
    <t>Section 5</t>
  </si>
  <si>
    <t>Decent Homes Basket Rates</t>
  </si>
  <si>
    <t>Section 6</t>
  </si>
  <si>
    <t>Section 7</t>
  </si>
  <si>
    <t>Repairs - NHF V8.0 SoR Adjustment for undertaking Reactive Repairs Electrical Works (codes 813006 to 898201) and rewire basket rates - in table B</t>
  </si>
  <si>
    <t>Voids - NHF V8.0 SoR Adjustment for undertaking Void Electrical Works (codes 813006 to 898201) and rewire basket rates - in table B</t>
  </si>
  <si>
    <t>F001</t>
  </si>
  <si>
    <t>Per annum</t>
  </si>
  <si>
    <t>Inclusive annual standing charge cost for providing out of hours service</t>
  </si>
  <si>
    <t xml:space="preserve">Out of hours and emergency reactive repair works may be introduced by Royal Greenwich. This service is therefore not guaranteed from contract commencement and is optional for Royal Greenwich to introduce with one appointed contractor within the duration of the contract(s). This service is currently delivered by Royal Greenwich’s Direct Labour Organisation (DLO). The scope of this service is set out within the Preliminaries. </t>
  </si>
  <si>
    <t>Tender submission for Royal Greenwich - Major and Responsive Repairs and Void Refurbishment Contract ()</t>
  </si>
  <si>
    <t xml:space="preserve">An annual standing charge cost is required, which shall include for all additional costs associated with operative work out of hours. The actual repairs are to be costed using the adjusted NHF Schedule of Rates (applying the percentages submitted within this Price Framework). </t>
  </si>
  <si>
    <t xml:space="preserve">Annual cost associated with the delivery of the Social Value Commitments outlined </t>
  </si>
  <si>
    <t>Cost associated with Mobilisation</t>
  </si>
  <si>
    <t>Pricing Schedule Document for Reactive Repairs and Void Refurbishment Contract
SPS 2777</t>
  </si>
  <si>
    <t>Bedsit- Basic-No Decent Homes orders</t>
  </si>
  <si>
    <t>Bedsit- Super-No Decent Homes orders</t>
  </si>
  <si>
    <t>Flat 1 bed-Basic-No Decent Homes orders</t>
  </si>
  <si>
    <t>Flat 1 bed-Standard-No Decent Homes orders</t>
  </si>
  <si>
    <t>Flat 1 bed-Super-No Decent Homes orders</t>
  </si>
  <si>
    <t>Flat 2 bed-Basic-No Decent Homes orders</t>
  </si>
  <si>
    <t>Flat 2 bed-Standard-No Decent Homes orders</t>
  </si>
  <si>
    <t>Flat 2 bed-Super-No Decent Homes orders</t>
  </si>
  <si>
    <t>Flat 3 bed-Basic-No Decent Homes orders</t>
  </si>
  <si>
    <t>Flat 3 bed-Standard-No Decent Homes orders</t>
  </si>
  <si>
    <t>Flat 3 bed-Super-No Decent Homes orders</t>
  </si>
  <si>
    <t>Flat 4 bed-Basic-No Decent Homes orders</t>
  </si>
  <si>
    <t>Flat 4 bed-Standard-No Decent Homes orders</t>
  </si>
  <si>
    <t>Flat 4 bed-Super-No Decent Homes orders</t>
  </si>
  <si>
    <t>House 1 bed-Basic-No Decent Homes orders</t>
  </si>
  <si>
    <t>House 1 bed-Standard-No Decent Homes orders</t>
  </si>
  <si>
    <t>House 1 bed-Super-No Decent Homes orders</t>
  </si>
  <si>
    <t>House 2 bed-Basic-No Decent Homes orders</t>
  </si>
  <si>
    <t>House 2 bed-Standard-No Decent Homes orders</t>
  </si>
  <si>
    <t>House 2 bed-Super-No Decent Homes orders</t>
  </si>
  <si>
    <t>House 3 bed-Basic-No Decent Homes orders</t>
  </si>
  <si>
    <t>House 3 bed-Standard-No Decent Homes orders</t>
  </si>
  <si>
    <t>House 3 bed-Super-No Decent Homes orders</t>
  </si>
  <si>
    <t>House 4 bed-Basic-No Decent Homes orders</t>
  </si>
  <si>
    <t>House 4 bed-Standard-No Decent Homes orders</t>
  </si>
  <si>
    <t>House 4 bed-Super-No Decent Homes orders</t>
  </si>
  <si>
    <t>House 5 bed-Basic-No Decent Homes orders</t>
  </si>
  <si>
    <t>House 5 bed-Standard-No Decent Homes orders</t>
  </si>
  <si>
    <t>House 5 bed-Super-No Decent Homes orders</t>
  </si>
  <si>
    <t>House 3 bed parlour-Basic-No Decent Homes orders</t>
  </si>
  <si>
    <t>House 3 bed parlour-Standard-No Decent Homes orders</t>
  </si>
  <si>
    <t>House 3 bed parlour-Super-No Decent Homes orders</t>
  </si>
  <si>
    <t>House 4 bed parlour-Standard-No Decent Homes orders</t>
  </si>
  <si>
    <t>House 4 bed parlour-Basic-No Decent Homes orders</t>
  </si>
  <si>
    <t>House 4 bed parlour-Super-No Decent Homes orders</t>
  </si>
  <si>
    <t>Purdy Contracts Ltd</t>
  </si>
  <si>
    <t>John Lord</t>
  </si>
  <si>
    <t>Brooklyn Lodge</t>
  </si>
  <si>
    <t>Mott Street</t>
  </si>
  <si>
    <t>London</t>
  </si>
  <si>
    <t>E4 7RW</t>
  </si>
  <si>
    <t>England</t>
  </si>
  <si>
    <t>0204 548 4547</t>
  </si>
  <si>
    <t>07774 458 176</t>
  </si>
  <si>
    <t>john.lord@purdycontracts.co.uk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</si>
</sst>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hh:mm:ss;@"/>
    <numFmt numFmtId="165" formatCode="_(&quot;£&quot;* #,##0.00_);_(&quot;£&quot;* \(#,##0.00\);_(&quot;£&quot;* &quot;-&quot;??_);_(@_)"/>
    <numFmt numFmtId="166" formatCode="&quot;£&quot;#,##0.00"/>
  </numFmts>
  <fonts count="112">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sz val="11"/>
      <color theme="1"/>
      <name val="Tahoma"/>
      <family val="2"/>
    </font>
    <font>
      <sz val="10"/>
      <color theme="1"/>
      <name val="Tahoma"/>
      <family val="2"/>
    </font>
    <font>
      <b/>
      <sz val="18"/>
      <color theme="3"/>
      <name val="Cambria"/>
      <family val="2"/>
      <scheme val="major"/>
    </font>
    <font>
      <b/>
      <sz val="15"/>
      <color theme="3"/>
      <name val="Tahoma"/>
      <family val="2"/>
    </font>
    <font>
      <b/>
      <sz val="13"/>
      <color theme="3"/>
      <name val="Tahoma"/>
      <family val="2"/>
    </font>
    <font>
      <b/>
      <sz val="11"/>
      <color theme="3"/>
      <name val="Tahoma"/>
      <family val="2"/>
    </font>
    <font>
      <sz val="11"/>
      <color rgb="FF006100"/>
      <name val="Tahoma"/>
      <family val="2"/>
    </font>
    <font>
      <sz val="11"/>
      <color rgb="FF9C0006"/>
      <name val="Tahoma"/>
      <family val="2"/>
    </font>
    <font>
      <sz val="11"/>
      <color rgb="FF9C6500"/>
      <name val="Tahoma"/>
      <family val="2"/>
    </font>
    <font>
      <sz val="11"/>
      <color rgb="FF3F3F76"/>
      <name val="Tahoma"/>
      <family val="2"/>
    </font>
    <font>
      <b/>
      <sz val="11"/>
      <color rgb="FF3F3F3F"/>
      <name val="Tahoma"/>
      <family val="2"/>
    </font>
    <font>
      <b/>
      <sz val="11"/>
      <color rgb="FFFA7D00"/>
      <name val="Tahoma"/>
      <family val="2"/>
    </font>
    <font>
      <sz val="11"/>
      <color rgb="FFFA7D00"/>
      <name val="Tahoma"/>
      <family val="2"/>
    </font>
    <font>
      <b/>
      <sz val="11"/>
      <color theme="0"/>
      <name val="Tahoma"/>
      <family val="2"/>
    </font>
    <font>
      <sz val="11"/>
      <color rgb="FFFF0000"/>
      <name val="Tahoma"/>
      <family val="2"/>
    </font>
    <font>
      <i/>
      <sz val="11"/>
      <color rgb="FF7F7F7F"/>
      <name val="Tahoma"/>
      <family val="2"/>
    </font>
    <font>
      <b/>
      <sz val="11"/>
      <color theme="1"/>
      <name val="Tahoma"/>
      <family val="2"/>
    </font>
    <font>
      <sz val="11"/>
      <color theme="0"/>
      <name val="Tahoma"/>
      <family val="2"/>
    </font>
    <font>
      <sz val="11"/>
      <color theme="1"/>
      <name val="Calibri"/>
      <family val="2"/>
      <scheme val="minor"/>
    </font>
    <font>
      <sz val="10"/>
      <name val="Arial"/>
      <family val="2"/>
    </font>
    <font>
      <u/>
      <sz val="11"/>
      <color theme="10"/>
      <name val="Calibri"/>
      <family val="2"/>
      <scheme val="minor"/>
    </font>
    <font>
      <u/>
      <sz val="10"/>
      <color indexed="12"/>
      <name val="Arial"/>
      <family val="2"/>
    </font>
    <font>
      <sz val="11"/>
      <color theme="1"/>
      <name val="Arial"/>
      <family val="2"/>
    </font>
    <font>
      <sz val="8"/>
      <name val="Tahoma"/>
      <family val="2"/>
    </font>
    <font>
      <sz val="11"/>
      <color indexed="8"/>
      <name val="Calibri"/>
      <family val="2"/>
    </font>
    <font>
      <sz val="11"/>
      <color theme="1"/>
      <name val="Calibri"/>
      <family val="2"/>
    </font>
    <font>
      <sz val="11"/>
      <color theme="0"/>
      <name val="Calibri"/>
      <family val="2"/>
    </font>
    <font>
      <sz val="11"/>
      <color rgb="FF9C0006"/>
      <name val="Calibri"/>
      <family val="2"/>
    </font>
    <font>
      <b/>
      <sz val="11"/>
      <color rgb="FFFA7D00"/>
      <name val="Calibri"/>
      <family val="2"/>
    </font>
    <font>
      <b/>
      <sz val="11"/>
      <color theme="0"/>
      <name val="Calibri"/>
      <family val="2"/>
    </font>
    <font>
      <i/>
      <sz val="11"/>
      <color rgb="FF7F7F7F"/>
      <name val="Calibri"/>
      <family val="2"/>
    </font>
    <font>
      <sz val="11"/>
      <color rgb="FF006100"/>
      <name val="Calibri"/>
      <family val="2"/>
    </font>
    <font>
      <b/>
      <sz val="15"/>
      <color theme="3"/>
      <name val="Calibri"/>
      <family val="2"/>
    </font>
    <font>
      <b/>
      <sz val="13"/>
      <color theme="3"/>
      <name val="Calibri"/>
      <family val="2"/>
    </font>
    <font>
      <b/>
      <sz val="11"/>
      <color theme="3"/>
      <name val="Calibri"/>
      <family val="2"/>
    </font>
    <font>
      <sz val="11"/>
      <color rgb="FF3F3F76"/>
      <name val="Calibri"/>
      <family val="2"/>
    </font>
    <font>
      <sz val="11"/>
      <color rgb="FFFA7D00"/>
      <name val="Calibri"/>
      <family val="2"/>
    </font>
    <font>
      <sz val="11"/>
      <color rgb="FF9C6500"/>
      <name val="Calibri"/>
      <family val="2"/>
    </font>
    <font>
      <b/>
      <sz val="11"/>
      <color rgb="FF3F3F3F"/>
      <name val="Calibri"/>
      <family val="2"/>
    </font>
    <font>
      <b/>
      <sz val="18"/>
      <color theme="3"/>
      <name val="Cambria"/>
      <family val="2"/>
    </font>
    <font>
      <b/>
      <sz val="11"/>
      <color theme="1"/>
      <name val="Calibri"/>
      <family val="2"/>
    </font>
    <font>
      <sz val="11"/>
      <color rgb="FFFF0000"/>
      <name val="Calibri"/>
      <family val="2"/>
    </font>
    <font>
      <sz val="12"/>
      <color theme="1"/>
      <name val="CG Times"/>
      <family val="2"/>
    </font>
    <font>
      <sz val="10"/>
      <color indexed="8"/>
      <name val="Arial"/>
      <family val="2"/>
    </font>
    <font>
      <sz val="10"/>
      <color theme="1"/>
      <name val="Arial"/>
      <family val="2"/>
    </font>
    <font>
      <b/>
      <sz val="10"/>
      <color theme="0"/>
      <name val="Arial"/>
      <family val="2"/>
    </font>
    <font>
      <sz val="10"/>
      <color rgb="FF333C41"/>
      <name val="Arial"/>
      <family val="2"/>
    </font>
    <font>
      <u/>
      <sz val="10"/>
      <color theme="10"/>
      <name val="Arial"/>
      <family val="2"/>
    </font>
    <font>
      <sz val="10"/>
      <color theme="0" tint="-0.499984740745262"/>
      <name val="Arial"/>
      <family val="2"/>
    </font>
    <font>
      <sz val="8"/>
      <color theme="0" tint="-0.499984740745262"/>
      <name val="Arial"/>
      <family val="2"/>
    </font>
    <font>
      <b/>
      <sz val="10"/>
      <color theme="0" tint="-0.499984740745262"/>
      <name val="Arial"/>
      <family val="2"/>
    </font>
    <font>
      <sz val="12"/>
      <color rgb="FF0074C5"/>
      <name val="Arial"/>
      <family val="2"/>
    </font>
    <font>
      <b/>
      <sz val="12"/>
      <color rgb="FF0074C5"/>
      <name val="Arial"/>
      <family val="2"/>
    </font>
    <font>
      <b/>
      <sz val="10"/>
      <color theme="1"/>
      <name val="Arial"/>
      <family val="2"/>
    </font>
    <font>
      <b/>
      <sz val="10"/>
      <color rgb="FF333C41"/>
      <name val="Arial"/>
      <family val="2"/>
    </font>
    <font>
      <sz val="12"/>
      <color theme="1"/>
      <name val="Arial"/>
      <family val="2"/>
    </font>
    <font>
      <b/>
      <sz val="12"/>
      <color theme="1"/>
      <name val="Arial"/>
      <family val="2"/>
    </font>
    <font>
      <b/>
      <sz val="10"/>
      <name val="Arial"/>
      <family val="2"/>
    </font>
    <font>
      <sz val="8"/>
      <color theme="1"/>
      <name val="Arial"/>
      <family val="2"/>
    </font>
    <font>
      <sz val="11"/>
      <color rgb="FF333C41"/>
      <name val="Arial"/>
      <family val="2"/>
    </font>
    <font>
      <sz val="10"/>
      <color rgb="FF00638B"/>
      <name val="Arial"/>
      <family val="2"/>
    </font>
    <font>
      <b/>
      <sz val="11"/>
      <color rgb="FF0074C5"/>
      <name val="Arial"/>
      <family val="2"/>
    </font>
    <font>
      <sz val="11"/>
      <color theme="0" tint="-0.34998626667073579"/>
      <name val="Arial"/>
      <family val="2"/>
    </font>
    <font>
      <sz val="10"/>
      <color theme="0" tint="-0.34998626667073579"/>
      <name val="Arial"/>
      <family val="2"/>
    </font>
    <font>
      <sz val="11"/>
      <name val="Arial"/>
      <family val="2"/>
    </font>
    <font>
      <sz val="12"/>
      <color rgb="FF00638B"/>
      <name val="Arial"/>
      <family val="2"/>
    </font>
    <font>
      <sz val="10"/>
      <color theme="0"/>
      <name val="Arial"/>
      <family val="2"/>
    </font>
    <font>
      <sz val="10"/>
      <color theme="1"/>
      <name val="Arial"/>
      <family val="2"/>
    </font>
    <font>
      <b/>
      <sz val="10"/>
      <color rgb="FF808080"/>
      <name val="Arial"/>
      <family val="2"/>
    </font>
    <font>
      <sz val="16"/>
      <color rgb="FF0074C5"/>
      <name val="Arial"/>
      <family val="2"/>
    </font>
    <font>
      <sz val="8"/>
      <color rgb="FF0074C5"/>
      <name val="Arial"/>
      <family val="2"/>
    </font>
    <font>
      <sz val="8"/>
      <color rgb="FF2D3C46"/>
      <name val="Arial"/>
      <family val="2"/>
    </font>
    <font>
      <sz val="14"/>
      <color rgb="FF0074C5"/>
      <name val="Arial"/>
      <family val="2"/>
    </font>
    <font>
      <sz val="14"/>
      <color rgb="FF00638B"/>
      <name val="Arial"/>
      <family val="2"/>
    </font>
    <font>
      <sz val="14"/>
      <color theme="1"/>
      <name val="Arial"/>
      <family val="2"/>
    </font>
    <font>
      <sz val="11"/>
      <name val="Tahoma"/>
      <family val="2"/>
    </font>
    <font>
      <sz val="10"/>
      <name val="Tahoma"/>
      <family val="2"/>
    </font>
    <font>
      <sz val="14"/>
      <color indexed="30"/>
      <name val="Arial"/>
      <family val="2"/>
    </font>
    <font>
      <sz val="11"/>
      <color indexed="30"/>
      <name val="Arial"/>
      <family val="2"/>
    </font>
    <font>
      <sz val="10"/>
      <color rgb="FF000000"/>
      <name val="Arial"/>
      <family val="2"/>
    </font>
    <font>
      <vertAlign val="superscript"/>
      <sz val="10"/>
      <name val="Arial"/>
      <family val="2"/>
    </font>
    <font>
      <u/>
      <sz val="10"/>
      <name val="Arial"/>
      <family val="2"/>
    </font>
    <font>
      <sz val="11"/>
      <color rgb="FF0074C5"/>
      <name val="Arial"/>
      <family val="2"/>
    </font>
    <font>
      <u/>
      <sz val="10"/>
      <color theme="11"/>
      <name val="Arial"/>
      <family val="2"/>
    </font>
    <font>
      <sz val="10"/>
      <color rgb="FF0074C5"/>
      <name val="Arial"/>
      <family val="2"/>
    </font>
    <font>
      <sz val="8"/>
      <color rgb="FF333C41"/>
      <name val="Arial"/>
      <family val="2"/>
    </font>
    <font>
      <sz val="8"/>
      <color theme="0" tint="-0.34998626667073579"/>
      <name val="Arial"/>
      <family val="2"/>
    </font>
    <font>
      <sz val="8"/>
      <name val="Arial"/>
      <family val="2"/>
    </font>
    <font>
      <b/>
      <sz val="8"/>
      <color rgb="FFFF0000"/>
      <name val="Arial"/>
      <family val="2"/>
    </font>
    <font>
      <b/>
      <sz val="8"/>
      <color indexed="10"/>
      <name val="Arial"/>
      <family val="2"/>
    </font>
    <font>
      <sz val="11"/>
      <color theme="0" tint="-0.499984740745262"/>
      <name val="Arial"/>
      <family val="2"/>
    </font>
    <font>
      <b/>
      <sz val="10"/>
      <color theme="0" tint="-0.249977111117893"/>
      <name val="Arial"/>
      <family val="2"/>
    </font>
    <font>
      <b/>
      <sz val="10"/>
      <color rgb="FF0070C0"/>
      <name val="Arial"/>
      <family val="2"/>
    </font>
  </fonts>
  <fills count="75">
    <fill>
      <patternFill patternType="none"/>
    </fill>
    <fill>
      <patternFill patternType="gray125"/>
    </fill>
    <fill>
      <patternFill patternType="solid">
        <fgColor theme="6"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theme="4"/>
      </patternFill>
    </fill>
    <fill>
      <patternFill patternType="solid">
        <fgColor theme="4" tint="0.39997558519241921"/>
        <bgColor indexed="64"/>
      </patternFill>
    </fill>
    <fill>
      <patternFill patternType="solid">
        <fgColor theme="4"/>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C99"/>
        <bgColor indexed="64"/>
      </patternFill>
    </fill>
    <fill>
      <patternFill patternType="solid">
        <fgColor rgb="FFFFEB9C"/>
        <bgColor indexed="64"/>
      </patternFill>
    </fill>
    <fill>
      <patternFill patternType="solid">
        <fgColor rgb="FFFFFFCC"/>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rgb="FFFFFF99"/>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0"/>
        <bgColor indexed="64"/>
      </patternFill>
    </fill>
  </fills>
  <borders count="95">
    <border>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ck">
        <color theme="4" tint="0.49995422223578601"/>
      </bottom>
      <diagonal/>
    </border>
    <border>
      <left/>
      <right/>
      <top style="thin">
        <color theme="0" tint="-0.24994659260841701"/>
      </top>
      <bottom/>
      <diagonal/>
    </border>
    <border>
      <left style="thin">
        <color theme="0" tint="-0.24994659260841701"/>
      </left>
      <right/>
      <top style="thin">
        <color theme="0" tint="-0.24994659260841701"/>
      </top>
      <bottom/>
      <diagonal/>
    </border>
    <border>
      <left/>
      <right/>
      <top style="thin">
        <color theme="0" tint="-0.24994659260841701"/>
      </top>
      <bottom style="thin">
        <color theme="0" tint="-0.24994659260841701"/>
      </bottom>
      <diagonal/>
    </border>
    <border>
      <left style="thin">
        <color theme="0" tint="-0.24994659260841701"/>
      </left>
      <right/>
      <top/>
      <bottom style="thin">
        <color theme="0" tint="-0.24994659260841701"/>
      </bottom>
      <diagonal/>
    </border>
    <border>
      <left style="thin">
        <color theme="0" tint="-0.24994659260841701"/>
      </left>
      <right/>
      <top/>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medium">
        <color theme="0" tint="-0.24994659260841701"/>
      </left>
      <right/>
      <top style="medium">
        <color theme="0" tint="-0.24994659260841701"/>
      </top>
      <bottom style="medium">
        <color theme="0" tint="-0.24994659260841701"/>
      </bottom>
      <diagonal/>
    </border>
    <border>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style="medium">
        <color theme="0" tint="-0.24994659260841701"/>
      </left>
      <right/>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theme="0" tint="-0.24994659260841701"/>
      </left>
      <right style="medium">
        <color theme="0" tint="-0.24994659260841701"/>
      </right>
      <top style="medium">
        <color theme="0" tint="-0.24994659260841701"/>
      </top>
      <bottom/>
      <diagonal/>
    </border>
    <border>
      <left style="medium">
        <color theme="0" tint="-0.24994659260841701"/>
      </left>
      <right style="medium">
        <color theme="0" tint="-0.24994659260841701"/>
      </right>
      <top/>
      <bottom/>
      <diagonal/>
    </border>
    <border>
      <left style="medium">
        <color theme="0" tint="-0.24994659260841701"/>
      </left>
      <right style="medium">
        <color theme="0" tint="-0.24994659260841701"/>
      </right>
      <top/>
      <bottom style="medium">
        <color theme="0" tint="-0.24994659260841701"/>
      </bottom>
      <diagonal/>
    </border>
    <border>
      <left/>
      <right/>
      <top/>
      <bottom style="thin">
        <color theme="0" tint="-0.24994659260841701"/>
      </bottom>
      <diagonal/>
    </border>
    <border>
      <left style="thin">
        <color rgb="FFBFBFBF"/>
      </left>
      <right style="thin">
        <color theme="0" tint="-0.24994659260841701"/>
      </right>
      <top style="thin">
        <color rgb="FFBFBFBF"/>
      </top>
      <bottom style="thin">
        <color theme="0" tint="-0.24994659260841701"/>
      </bottom>
      <diagonal/>
    </border>
    <border>
      <left style="thin">
        <color theme="0" tint="-0.24994659260841701"/>
      </left>
      <right style="thin">
        <color theme="0" tint="-0.24994659260841701"/>
      </right>
      <top style="thin">
        <color rgb="FFBFBFBF"/>
      </top>
      <bottom style="thin">
        <color theme="0" tint="-0.24994659260841701"/>
      </bottom>
      <diagonal/>
    </border>
    <border>
      <left style="thin">
        <color theme="0" tint="-0.24994659260841701"/>
      </left>
      <right style="thin">
        <color rgb="FFBFBFBF"/>
      </right>
      <top style="thin">
        <color rgb="FFBFBFBF"/>
      </top>
      <bottom style="thin">
        <color theme="0" tint="-0.24994659260841701"/>
      </bottom>
      <diagonal/>
    </border>
    <border>
      <left/>
      <right style="thin">
        <color rgb="FFBFBFBF"/>
      </right>
      <top style="thin">
        <color rgb="FFBFBFBF"/>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bottom style="thin">
        <color rgb="FFBFBFBF"/>
      </bottom>
      <diagonal/>
    </border>
    <border>
      <left style="thin">
        <color rgb="FFBFBFBF"/>
      </left>
      <right/>
      <top style="thin">
        <color rgb="FFBFBFBF"/>
      </top>
      <bottom style="thin">
        <color rgb="FFBFBFBF"/>
      </bottom>
      <diagonal/>
    </border>
    <border>
      <left style="thin">
        <color rgb="FFBFBFBF"/>
      </left>
      <right style="thin">
        <color rgb="FFBFBFBF"/>
      </right>
      <top style="thin">
        <color rgb="FFBFBFBF"/>
      </top>
      <bottom/>
      <diagonal/>
    </border>
    <border>
      <left style="thin">
        <color rgb="FFBFBFBF"/>
      </left>
      <right style="thin">
        <color theme="0" tint="-0.24994659260841701"/>
      </right>
      <top style="thin">
        <color theme="0" tint="-0.24994659260841701"/>
      </top>
      <bottom style="thin">
        <color rgb="FFBFBFBF"/>
      </bottom>
      <diagonal/>
    </border>
    <border>
      <left style="thin">
        <color theme="0" tint="-0.24994659260841701"/>
      </left>
      <right style="thin">
        <color rgb="FFBFBFBF"/>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rgb="FFBFBFBF"/>
      </bottom>
      <diagonal/>
    </border>
    <border>
      <left style="thin">
        <color theme="0" tint="-0.24994659260841701"/>
      </left>
      <right style="thin">
        <color rgb="FFBFBFBF"/>
      </right>
      <top style="thin">
        <color theme="0" tint="-0.24994659260841701"/>
      </top>
      <bottom style="thin">
        <color rgb="FFBFBFBF"/>
      </bottom>
      <diagonal/>
    </border>
    <border>
      <left style="thin">
        <color theme="0" tint="-0.24994659260841701"/>
      </left>
      <right/>
      <top style="thin">
        <color theme="0" tint="-0.24994659260841701"/>
      </top>
      <bottom style="thin">
        <color rgb="FFBFBFBF"/>
      </bottom>
      <diagonal/>
    </border>
    <border>
      <left/>
      <right style="thin">
        <color theme="0" tint="-0.24994659260841701"/>
      </right>
      <top style="thin">
        <color theme="0" tint="-0.24994659260841701"/>
      </top>
      <bottom style="thin">
        <color rgb="FFBFBFBF"/>
      </bottom>
      <diagonal/>
    </border>
    <border>
      <left style="thin">
        <color theme="0" tint="-0.24994659260841701"/>
      </left>
      <right/>
      <top style="thin">
        <color rgb="FFBFBFBF"/>
      </top>
      <bottom style="thin">
        <color theme="0" tint="-0.24994659260841701"/>
      </bottom>
      <diagonal/>
    </border>
    <border>
      <left/>
      <right style="thin">
        <color theme="0" tint="-0.24994659260841701"/>
      </right>
      <top style="thin">
        <color rgb="FFBFBFBF"/>
      </top>
      <bottom style="thin">
        <color theme="0" tint="-0.24994659260841701"/>
      </bottom>
      <diagonal/>
    </border>
    <border>
      <left/>
      <right style="thin">
        <color rgb="FFBFBFBF"/>
      </right>
      <top style="thin">
        <color rgb="FFBFBFBF"/>
      </top>
      <bottom style="thin">
        <color rgb="FFBFBFBF"/>
      </bottom>
      <diagonal/>
    </border>
    <border>
      <left style="thin">
        <color indexed="64"/>
      </left>
      <right/>
      <top/>
      <bottom/>
      <diagonal/>
    </border>
    <border>
      <left/>
      <right/>
      <top/>
      <bottom style="thin">
        <color rgb="FFBFBFBF"/>
      </bottom>
      <diagonal/>
    </border>
    <border>
      <left style="thin">
        <color rgb="FFBFBFBF"/>
      </left>
      <right style="thin">
        <color rgb="FFBFBFBF"/>
      </right>
      <top/>
      <bottom/>
      <diagonal/>
    </border>
    <border>
      <left style="thin">
        <color rgb="FFBFBFBF"/>
      </left>
      <right style="thin">
        <color theme="0" tint="-0.24994659260841701"/>
      </right>
      <top/>
      <bottom style="thin">
        <color theme="0" tint="-0.24994659260841701"/>
      </bottom>
      <diagonal/>
    </border>
    <border>
      <left style="thin">
        <color theme="0" tint="-0.24994659260841701"/>
      </left>
      <right style="thin">
        <color rgb="FFBFBFBF"/>
      </right>
      <top/>
      <bottom style="thin">
        <color theme="0" tint="-0.24994659260841701"/>
      </bottom>
      <diagonal/>
    </border>
    <border>
      <left style="thin">
        <color theme="0" tint="-0.24994659260841701"/>
      </left>
      <right style="thin">
        <color theme="0" tint="-0.24994659260841701"/>
      </right>
      <top/>
      <bottom style="thin">
        <color rgb="FFBFBFBF"/>
      </bottom>
      <diagonal/>
    </border>
    <border>
      <left/>
      <right/>
      <top/>
      <bottom style="dotted">
        <color auto="1"/>
      </bottom>
      <diagonal/>
    </border>
    <border>
      <left/>
      <right/>
      <top style="dotted">
        <color auto="1"/>
      </top>
      <bottom/>
      <diagonal/>
    </border>
    <border>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rgb="FFBFBFBF"/>
      </left>
      <right/>
      <top style="thin">
        <color rgb="FFBFBFBF"/>
      </top>
      <bottom/>
      <diagonal/>
    </border>
    <border>
      <left style="thin">
        <color rgb="FFBFBFBF"/>
      </left>
      <right/>
      <top/>
      <bottom style="thin">
        <color rgb="FFBFBFBF"/>
      </bottom>
      <diagonal/>
    </border>
    <border>
      <left/>
      <right style="thin">
        <color rgb="FFBFBFBF"/>
      </right>
      <top/>
      <bottom style="thin">
        <color rgb="FFBFBFBF"/>
      </bottom>
      <diagonal/>
    </border>
    <border>
      <left style="thin">
        <color rgb="FFA6A6A6"/>
      </left>
      <right/>
      <top style="thin">
        <color rgb="FFA6A6A6"/>
      </top>
      <bottom style="thin">
        <color theme="0" tint="-0.34998626667073579"/>
      </bottom>
      <diagonal/>
    </border>
    <border>
      <left style="thin">
        <color theme="0" tint="-0.34998626667073579"/>
      </left>
      <right/>
      <top style="thin">
        <color rgb="FFA6A6A6"/>
      </top>
      <bottom style="thin">
        <color theme="0" tint="-0.34998626667073579"/>
      </bottom>
      <diagonal/>
    </border>
    <border>
      <left style="thin">
        <color rgb="FFA6A6A6"/>
      </left>
      <right style="thin">
        <color rgb="FFA6A6A6"/>
      </right>
      <top style="thin">
        <color rgb="FFA6A6A6"/>
      </top>
      <bottom style="thin">
        <color theme="0" tint="-0.34998626667073579"/>
      </bottom>
      <diagonal/>
    </border>
    <border>
      <left style="thin">
        <color indexed="64"/>
      </left>
      <right style="thin">
        <color indexed="64"/>
      </right>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diagonal/>
    </border>
    <border>
      <left/>
      <right/>
      <top style="thin">
        <color rgb="FFBFBFBF"/>
      </top>
      <bottom style="thin">
        <color rgb="FFBFBFBF"/>
      </bottom>
      <diagonal/>
    </border>
    <border>
      <left style="thin">
        <color rgb="FFBFBFBF"/>
      </left>
      <right/>
      <top style="thin">
        <color rgb="FFBFBFBF"/>
      </top>
      <bottom style="thin">
        <color theme="0" tint="-0.24994659260841701"/>
      </bottom>
      <diagonal/>
    </border>
    <border>
      <left/>
      <right/>
      <top style="thin">
        <color rgb="FFBFBFBF"/>
      </top>
      <bottom style="thin">
        <color theme="0" tint="-0.24994659260841701"/>
      </bottom>
      <diagonal/>
    </border>
    <border>
      <left/>
      <right style="thin">
        <color rgb="FFBFBFBF"/>
      </right>
      <top style="thin">
        <color rgb="FFBFBFBF"/>
      </top>
      <bottom style="thin">
        <color theme="0" tint="-0.24994659260841701"/>
      </bottom>
      <diagonal/>
    </border>
    <border>
      <left style="thin">
        <color rgb="FFBFBFBF"/>
      </left>
      <right/>
      <top/>
      <bottom/>
      <diagonal/>
    </border>
    <border>
      <left/>
      <right/>
      <top style="thin">
        <color theme="0" tint="-0.14996795556505021"/>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BFBFBF"/>
      </left>
      <right style="thin">
        <color theme="0" tint="-0.24994659260841701"/>
      </right>
      <top style="thin">
        <color theme="0" tint="-0.24994659260841701"/>
      </top>
      <bottom style="thin">
        <color theme="0" tint="-0.24994659260841701"/>
      </bottom>
      <diagonal/>
    </border>
  </borders>
  <cellStyleXfs count="981">
    <xf numFmtId="0" fontId="0" fillId="0" borderId="0"/>
    <xf numFmtId="44" fontId="19" fillId="0" borderId="0" applyFont="0" applyFill="0" applyBorder="0" applyAlignment="0" applyProtection="0"/>
    <xf numFmtId="0" fontId="66" fillId="0" borderId="0" applyNumberFormat="0" applyFill="0" applyBorder="0" applyAlignment="0" applyProtection="0"/>
    <xf numFmtId="0" fontId="21" fillId="0" borderId="0" applyNumberFormat="0" applyFill="0" applyBorder="0" applyAlignment="0" applyProtection="0"/>
    <xf numFmtId="0" fontId="22" fillId="0" borderId="7" applyNumberFormat="0" applyFill="0" applyAlignment="0" applyProtection="0"/>
    <xf numFmtId="0" fontId="23" fillId="0" borderId="8" applyNumberFormat="0" applyFill="0" applyAlignment="0" applyProtection="0"/>
    <xf numFmtId="0" fontId="24" fillId="0" borderId="9" applyNumberFormat="0" applyFill="0" applyAlignment="0" applyProtection="0"/>
    <xf numFmtId="0" fontId="24" fillId="0" borderId="0" applyNumberFormat="0" applyFill="0" applyBorder="0" applyAlignment="0" applyProtection="0"/>
    <xf numFmtId="0" fontId="25" fillId="3" borderId="0" applyNumberFormat="0" applyBorder="0" applyAlignment="0" applyProtection="0"/>
    <xf numFmtId="0" fontId="26" fillId="4" borderId="0" applyNumberFormat="0" applyBorder="0" applyAlignment="0" applyProtection="0"/>
    <xf numFmtId="0" fontId="27" fillId="5" borderId="0" applyNumberFormat="0" applyBorder="0" applyAlignment="0" applyProtection="0"/>
    <xf numFmtId="0" fontId="28" fillId="6" borderId="10" applyNumberFormat="0" applyAlignment="0" applyProtection="0"/>
    <xf numFmtId="0" fontId="29" fillId="7" borderId="11" applyNumberFormat="0" applyAlignment="0" applyProtection="0"/>
    <xf numFmtId="0" fontId="30" fillId="7" borderId="10" applyNumberFormat="0" applyAlignment="0" applyProtection="0"/>
    <xf numFmtId="0" fontId="31" fillId="0" borderId="12" applyNumberFormat="0" applyFill="0" applyAlignment="0" applyProtection="0"/>
    <xf numFmtId="0" fontId="32" fillId="8" borderId="13" applyNumberFormat="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6"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36" fillId="25" borderId="0" applyNumberFormat="0" applyBorder="0" applyAlignment="0" applyProtection="0"/>
    <xf numFmtId="0" fontId="36"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36" fillId="29" borderId="0" applyNumberFormat="0" applyBorder="0" applyAlignment="0" applyProtection="0"/>
    <xf numFmtId="0" fontId="36"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36" fillId="33" borderId="0" applyNumberFormat="0" applyBorder="0" applyAlignment="0" applyProtection="0"/>
    <xf numFmtId="0" fontId="37" fillId="0" borderId="0"/>
    <xf numFmtId="0" fontId="38" fillId="0" borderId="0"/>
    <xf numFmtId="0" fontId="39" fillId="0" borderId="0" applyNumberFormat="0" applyFill="0" applyBorder="0" applyAlignment="0" applyProtection="0"/>
    <xf numFmtId="0" fontId="38" fillId="0" borderId="0"/>
    <xf numFmtId="0" fontId="40" fillId="0" borderId="0" applyNumberFormat="0" applyFill="0" applyBorder="0" applyAlignment="0" applyProtection="0">
      <alignment vertical="top"/>
      <protection locked="0"/>
    </xf>
    <xf numFmtId="0" fontId="19" fillId="0" borderId="0"/>
    <xf numFmtId="0" fontId="19" fillId="9" borderId="14" applyNumberFormat="0" applyFont="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44" fontId="37" fillId="0" borderId="0" applyFont="0" applyFill="0" applyBorder="0" applyAlignment="0" applyProtection="0"/>
    <xf numFmtId="0" fontId="19" fillId="0" borderId="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38" fillId="0" borderId="0"/>
    <xf numFmtId="0" fontId="19" fillId="0" borderId="0"/>
    <xf numFmtId="0" fontId="19" fillId="9" borderId="14" applyNumberFormat="0" applyFont="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0" borderId="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0" borderId="0"/>
    <xf numFmtId="0" fontId="19" fillId="9" borderId="14" applyNumberFormat="0" applyFont="0" applyAlignment="0" applyProtection="0"/>
    <xf numFmtId="0" fontId="19" fillId="11" borderId="0" applyNumberFormat="0" applyBorder="0" applyAlignment="0" applyProtection="0"/>
    <xf numFmtId="0" fontId="19" fillId="12"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9" fontId="19" fillId="0" borderId="0" applyFont="0" applyFill="0" applyBorder="0" applyAlignment="0" applyProtection="0"/>
    <xf numFmtId="0" fontId="41" fillId="0" borderId="0"/>
    <xf numFmtId="0" fontId="19" fillId="0" borderId="0"/>
    <xf numFmtId="44" fontId="19" fillId="0" borderId="0" applyFont="0" applyFill="0" applyBorder="0" applyAlignment="0" applyProtection="0"/>
    <xf numFmtId="0" fontId="22" fillId="0" borderId="7" applyNumberFormat="0" applyFill="0" applyAlignment="0" applyProtection="0"/>
    <xf numFmtId="0" fontId="23" fillId="0" borderId="8" applyNumberFormat="0" applyFill="0" applyAlignment="0" applyProtection="0"/>
    <xf numFmtId="0" fontId="24" fillId="0" borderId="9" applyNumberFormat="0" applyFill="0" applyAlignment="0" applyProtection="0"/>
    <xf numFmtId="0" fontId="24" fillId="0" borderId="0" applyNumberFormat="0" applyFill="0" applyBorder="0" applyAlignment="0" applyProtection="0"/>
    <xf numFmtId="0" fontId="25" fillId="3" borderId="0" applyNumberFormat="0" applyBorder="0" applyAlignment="0" applyProtection="0"/>
    <xf numFmtId="0" fontId="26" fillId="4" borderId="0" applyNumberFormat="0" applyBorder="0" applyAlignment="0" applyProtection="0"/>
    <xf numFmtId="0" fontId="27" fillId="5" borderId="0" applyNumberFormat="0" applyBorder="0" applyAlignment="0" applyProtection="0"/>
    <xf numFmtId="0" fontId="28" fillId="6" borderId="10" applyNumberFormat="0" applyAlignment="0" applyProtection="0"/>
    <xf numFmtId="0" fontId="29" fillId="7" borderId="11" applyNumberFormat="0" applyAlignment="0" applyProtection="0"/>
    <xf numFmtId="0" fontId="30" fillId="7" borderId="10" applyNumberFormat="0" applyAlignment="0" applyProtection="0"/>
    <xf numFmtId="0" fontId="31" fillId="0" borderId="12" applyNumberFormat="0" applyFill="0" applyAlignment="0" applyProtection="0"/>
    <xf numFmtId="0" fontId="32" fillId="8" borderId="13" applyNumberFormat="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15" applyNumberFormat="0" applyFill="0" applyAlignment="0" applyProtection="0"/>
    <xf numFmtId="0" fontId="36"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36" fillId="25" borderId="0" applyNumberFormat="0" applyBorder="0" applyAlignment="0" applyProtection="0"/>
    <xf numFmtId="0" fontId="36"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36" fillId="29" borderId="0" applyNumberFormat="0" applyBorder="0" applyAlignment="0" applyProtection="0"/>
    <xf numFmtId="0" fontId="36"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36" fillId="33" borderId="0" applyNumberFormat="0" applyBorder="0" applyAlignment="0" applyProtection="0"/>
    <xf numFmtId="9" fontId="19" fillId="0" borderId="0" applyFont="0" applyFill="0" applyBorder="0" applyAlignment="0" applyProtection="0"/>
    <xf numFmtId="0" fontId="42" fillId="0" borderId="0"/>
    <xf numFmtId="0" fontId="20" fillId="0" borderId="0"/>
    <xf numFmtId="9" fontId="37" fillId="0" borderId="0" applyFont="0" applyFill="0" applyBorder="0" applyAlignment="0" applyProtection="0"/>
    <xf numFmtId="0" fontId="38" fillId="0" borderId="0"/>
    <xf numFmtId="0" fontId="43" fillId="0" borderId="0"/>
    <xf numFmtId="0" fontId="44" fillId="37" borderId="0"/>
    <xf numFmtId="0" fontId="44" fillId="38" borderId="0"/>
    <xf numFmtId="0" fontId="44" fillId="39" borderId="0"/>
    <xf numFmtId="0" fontId="44" fillId="40" borderId="0"/>
    <xf numFmtId="0" fontId="44" fillId="41" borderId="0"/>
    <xf numFmtId="0" fontId="44" fillId="42" borderId="0"/>
    <xf numFmtId="0" fontId="44" fillId="43" borderId="0"/>
    <xf numFmtId="0" fontId="44" fillId="44" borderId="0"/>
    <xf numFmtId="0" fontId="44" fillId="45" borderId="0"/>
    <xf numFmtId="0" fontId="44" fillId="46" borderId="0"/>
    <xf numFmtId="0" fontId="44" fillId="47" borderId="0"/>
    <xf numFmtId="0" fontId="44" fillId="48" borderId="0"/>
    <xf numFmtId="0" fontId="45" fillId="35" borderId="0"/>
    <xf numFmtId="0" fontId="45" fillId="49" borderId="0"/>
    <xf numFmtId="0" fontId="45" fillId="2" borderId="0"/>
    <xf numFmtId="0" fontId="45" fillId="50" borderId="0"/>
    <xf numFmtId="0" fontId="45" fillId="51" borderId="0"/>
    <xf numFmtId="0" fontId="45" fillId="52" borderId="0"/>
    <xf numFmtId="0" fontId="45" fillId="36" borderId="0"/>
    <xf numFmtId="0" fontId="45" fillId="53" borderId="0"/>
    <xf numFmtId="0" fontId="45" fillId="54" borderId="0"/>
    <xf numFmtId="0" fontId="45" fillId="55" borderId="0"/>
    <xf numFmtId="0" fontId="45" fillId="56" borderId="0"/>
    <xf numFmtId="0" fontId="45" fillId="57" borderId="0"/>
    <xf numFmtId="0" fontId="46" fillId="58" borderId="0"/>
    <xf numFmtId="0" fontId="47" fillId="59" borderId="10"/>
    <xf numFmtId="0" fontId="48" fillId="60" borderId="13"/>
    <xf numFmtId="43" fontId="44" fillId="0" borderId="0"/>
    <xf numFmtId="41" fontId="44" fillId="0" borderId="0"/>
    <xf numFmtId="44" fontId="44" fillId="0" borderId="0"/>
    <xf numFmtId="42" fontId="44" fillId="0" borderId="0"/>
    <xf numFmtId="0" fontId="49" fillId="0" borderId="0"/>
    <xf numFmtId="0" fontId="50" fillId="61" borderId="0"/>
    <xf numFmtId="0" fontId="51" fillId="0" borderId="7"/>
    <xf numFmtId="0" fontId="52" fillId="0" borderId="30"/>
    <xf numFmtId="0" fontId="53" fillId="0" borderId="9"/>
    <xf numFmtId="0" fontId="53" fillId="0" borderId="0"/>
    <xf numFmtId="0" fontId="54" fillId="62" borderId="10"/>
    <xf numFmtId="0" fontId="55" fillId="0" borderId="12"/>
    <xf numFmtId="0" fontId="56" fillId="63" borderId="0"/>
    <xf numFmtId="0" fontId="44" fillId="64" borderId="14"/>
    <xf numFmtId="0" fontId="57" fillId="59" borderId="11"/>
    <xf numFmtId="9" fontId="44" fillId="0" borderId="0"/>
    <xf numFmtId="0" fontId="58" fillId="0" borderId="0"/>
    <xf numFmtId="0" fontId="59" fillId="0" borderId="15"/>
    <xf numFmtId="0" fontId="60" fillId="0" borderId="0"/>
    <xf numFmtId="0" fontId="19" fillId="0" borderId="0"/>
    <xf numFmtId="0" fontId="37" fillId="0" borderId="0"/>
    <xf numFmtId="165" fontId="37" fillId="0" borderId="0" applyFont="0" applyFill="0" applyBorder="0" applyAlignment="0" applyProtection="0"/>
    <xf numFmtId="165"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165" fontId="37" fillId="0" borderId="0" applyFont="0" applyFill="0" applyBorder="0" applyAlignment="0" applyProtection="0"/>
    <xf numFmtId="0" fontId="38" fillId="0" borderId="0"/>
    <xf numFmtId="0" fontId="37" fillId="0" borderId="0"/>
    <xf numFmtId="9" fontId="37" fillId="0" borderId="0" applyFont="0" applyFill="0" applyBorder="0" applyAlignment="0" applyProtection="0"/>
    <xf numFmtId="9" fontId="37" fillId="0" borderId="0" applyFont="0" applyFill="0" applyBorder="0" applyAlignment="0" applyProtection="0"/>
    <xf numFmtId="44" fontId="37" fillId="0" borderId="0" applyFont="0" applyFill="0" applyBorder="0" applyAlignment="0" applyProtection="0"/>
    <xf numFmtId="0" fontId="38" fillId="0" borderId="0"/>
    <xf numFmtId="43" fontId="61" fillId="0" borderId="0" applyFont="0" applyFill="0" applyBorder="0" applyAlignment="0" applyProtection="0"/>
    <xf numFmtId="0" fontId="62" fillId="0" borderId="0"/>
    <xf numFmtId="0" fontId="38" fillId="0" borderId="0"/>
    <xf numFmtId="0" fontId="38" fillId="0" borderId="0"/>
    <xf numFmtId="0" fontId="37" fillId="0" borderId="0"/>
    <xf numFmtId="165" fontId="37" fillId="0" borderId="0" applyFont="0" applyFill="0" applyBorder="0" applyAlignment="0" applyProtection="0"/>
    <xf numFmtId="9" fontId="3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0" fontId="19" fillId="0" borderId="0"/>
    <xf numFmtId="0" fontId="19" fillId="0" borderId="0"/>
    <xf numFmtId="44" fontId="19" fillId="0" borderId="0" applyFont="0" applyFill="0" applyBorder="0" applyAlignment="0" applyProtection="0"/>
    <xf numFmtId="0" fontId="19" fillId="0" borderId="0"/>
    <xf numFmtId="0" fontId="37" fillId="0" borderId="0"/>
    <xf numFmtId="165" fontId="37" fillId="0" borderId="0" applyFont="0" applyFill="0" applyBorder="0" applyAlignment="0" applyProtection="0"/>
    <xf numFmtId="9" fontId="37"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37" fillId="0" borderId="0"/>
    <xf numFmtId="165" fontId="37" fillId="0" borderId="0" applyFont="0" applyFill="0" applyBorder="0" applyAlignment="0" applyProtection="0"/>
    <xf numFmtId="9" fontId="37"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165" fontId="37" fillId="0" borderId="0" applyFont="0" applyFill="0" applyBorder="0" applyAlignment="0" applyProtection="0"/>
    <xf numFmtId="9" fontId="37" fillId="0" borderId="0" applyFont="0" applyFill="0" applyBorder="0" applyAlignment="0" applyProtection="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37"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37" fillId="0" borderId="0" applyFont="0" applyFill="0" applyBorder="0" applyAlignment="0" applyProtection="0"/>
    <xf numFmtId="9" fontId="37" fillId="0" borderId="0" applyFont="0" applyFill="0" applyBorder="0" applyAlignment="0" applyProtection="0"/>
    <xf numFmtId="44"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38" fillId="0" borderId="0"/>
    <xf numFmtId="44" fontId="38" fillId="0" borderId="0" applyFont="0" applyFill="0" applyBorder="0" applyAlignment="0" applyProtection="0"/>
    <xf numFmtId="0" fontId="38" fillId="0" borderId="0"/>
    <xf numFmtId="0" fontId="37" fillId="0" borderId="0"/>
    <xf numFmtId="0" fontId="42" fillId="0" borderId="0"/>
    <xf numFmtId="0" fontId="38" fillId="0" borderId="0"/>
    <xf numFmtId="44" fontId="37" fillId="0" borderId="0" applyFont="0" applyFill="0" applyBorder="0" applyAlignment="0" applyProtection="0"/>
    <xf numFmtId="0" fontId="37" fillId="0" borderId="0"/>
    <xf numFmtId="9" fontId="37"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37" fillId="0" borderId="0"/>
    <xf numFmtId="165" fontId="37"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37"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43" fillId="0" borderId="0"/>
    <xf numFmtId="43" fontId="44" fillId="0" borderId="0"/>
    <xf numFmtId="44" fontId="44" fillId="0" borderId="0"/>
    <xf numFmtId="9" fontId="44" fillId="0" borderId="0"/>
    <xf numFmtId="44" fontId="37" fillId="0" borderId="0" applyFont="0" applyFill="0" applyBorder="0" applyAlignment="0" applyProtection="0"/>
    <xf numFmtId="0" fontId="19" fillId="0" borderId="0"/>
    <xf numFmtId="0" fontId="37" fillId="0" borderId="0"/>
    <xf numFmtId="44" fontId="37" fillId="0" borderId="0" applyFont="0" applyFill="0" applyBorder="0" applyAlignment="0" applyProtection="0"/>
    <xf numFmtId="9" fontId="37"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44" fontId="1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37" fillId="0" borderId="0"/>
    <xf numFmtId="0" fontId="38" fillId="0" borderId="0"/>
    <xf numFmtId="0" fontId="19" fillId="0" borderId="0"/>
    <xf numFmtId="0" fontId="19" fillId="0" borderId="0"/>
    <xf numFmtId="44" fontId="19" fillId="0" borderId="0" applyFont="0" applyFill="0" applyBorder="0" applyAlignment="0" applyProtection="0"/>
    <xf numFmtId="0" fontId="19" fillId="0" borderId="0"/>
    <xf numFmtId="9" fontId="19" fillId="0" borderId="0" applyFont="0" applyFill="0" applyBorder="0" applyAlignment="0" applyProtection="0"/>
    <xf numFmtId="0" fontId="102" fillId="0" borderId="0" applyNumberFormat="0" applyFill="0" applyBorder="0" applyAlignment="0" applyProtection="0"/>
  </cellStyleXfs>
  <cellXfs count="711">
    <xf numFmtId="0" fontId="0" fillId="0" borderId="0" xfId="0"/>
    <xf numFmtId="0" fontId="18" fillId="0" borderId="0" xfId="0" applyFont="1"/>
    <xf numFmtId="0" fontId="63" fillId="0" borderId="0" xfId="0" applyFont="1" applyAlignment="1">
      <alignment vertical="top" wrapText="1"/>
    </xf>
    <xf numFmtId="0" fontId="18" fillId="0" borderId="0" xfId="0" applyFont="1" applyAlignment="1">
      <alignment horizontal="left" vertical="top"/>
    </xf>
    <xf numFmtId="0" fontId="18" fillId="0" borderId="0" xfId="0" applyFont="1" applyAlignment="1">
      <alignment horizontal="left"/>
    </xf>
    <xf numFmtId="0" fontId="63" fillId="0" borderId="0" xfId="0" applyFont="1"/>
    <xf numFmtId="0" fontId="63" fillId="0" borderId="20" xfId="0" applyFont="1" applyBorder="1" applyAlignment="1">
      <alignment vertical="center"/>
    </xf>
    <xf numFmtId="0" fontId="63" fillId="0" borderId="0" xfId="0" applyFont="1" applyAlignment="1">
      <alignment vertical="center"/>
    </xf>
    <xf numFmtId="0" fontId="63" fillId="0" borderId="0" xfId="0" applyFont="1" applyAlignment="1">
      <alignment horizontal="left" vertical="center"/>
    </xf>
    <xf numFmtId="0" fontId="63" fillId="0" borderId="0" xfId="0" applyFont="1" applyAlignment="1">
      <alignment horizontal="left" vertical="center" wrapText="1"/>
    </xf>
    <xf numFmtId="0" fontId="17" fillId="0" borderId="0" xfId="0" applyFont="1" applyAlignment="1">
      <alignment horizontal="left" vertical="top"/>
    </xf>
    <xf numFmtId="0" fontId="67" fillId="0" borderId="0" xfId="0" applyFont="1"/>
    <xf numFmtId="0" fontId="17" fillId="0" borderId="0" xfId="0" applyFont="1"/>
    <xf numFmtId="0" fontId="69" fillId="0" borderId="0" xfId="0" applyFont="1"/>
    <xf numFmtId="0" fontId="17" fillId="0" borderId="0" xfId="0" applyFont="1" applyAlignment="1">
      <alignment vertical="center"/>
    </xf>
    <xf numFmtId="0" fontId="18" fillId="0" borderId="0" xfId="0" applyFont="1" applyAlignment="1">
      <alignment horizontal="center"/>
    </xf>
    <xf numFmtId="0" fontId="17" fillId="0" borderId="0" xfId="0" applyFont="1" applyAlignment="1">
      <alignment horizontal="center"/>
    </xf>
    <xf numFmtId="0" fontId="38" fillId="0" borderId="16" xfId="2" applyFont="1" applyBorder="1" applyAlignment="1">
      <alignment vertical="top" wrapText="1"/>
    </xf>
    <xf numFmtId="0" fontId="17" fillId="0" borderId="0" xfId="0" applyFont="1" applyAlignment="1">
      <alignment vertical="top" wrapText="1"/>
    </xf>
    <xf numFmtId="0" fontId="17" fillId="0" borderId="0" xfId="0" applyFont="1" applyAlignment="1">
      <alignment vertical="top"/>
    </xf>
    <xf numFmtId="0" fontId="17" fillId="0" borderId="0" xfId="0" applyFont="1" applyAlignment="1">
      <alignment horizontal="center" vertical="top"/>
    </xf>
    <xf numFmtId="0" fontId="17" fillId="0" borderId="0" xfId="0" applyFont="1" applyAlignment="1">
      <alignment horizontal="left"/>
    </xf>
    <xf numFmtId="0" fontId="17" fillId="0" borderId="0" xfId="0" applyFont="1" applyAlignment="1">
      <alignment vertical="center" wrapText="1"/>
    </xf>
    <xf numFmtId="0" fontId="17" fillId="0" borderId="0" xfId="0" applyFont="1" applyAlignment="1">
      <alignment horizontal="center" vertical="center"/>
    </xf>
    <xf numFmtId="0" fontId="74" fillId="0" borderId="0" xfId="0" applyFont="1" applyAlignment="1">
      <alignment vertical="center" wrapText="1"/>
    </xf>
    <xf numFmtId="0" fontId="74" fillId="0" borderId="0" xfId="0" applyFont="1" applyAlignment="1">
      <alignment vertical="center"/>
    </xf>
    <xf numFmtId="0" fontId="17" fillId="0" borderId="0" xfId="0" applyFont="1" applyAlignment="1">
      <alignment wrapText="1"/>
    </xf>
    <xf numFmtId="0" fontId="18" fillId="0" borderId="0" xfId="0" applyFont="1" applyAlignment="1">
      <alignment vertical="top"/>
    </xf>
    <xf numFmtId="0" fontId="72" fillId="0" borderId="0" xfId="0" applyFont="1" applyAlignment="1">
      <alignment vertical="top" wrapText="1"/>
    </xf>
    <xf numFmtId="0" fontId="77" fillId="0" borderId="0" xfId="0" applyFont="1" applyAlignment="1">
      <alignment vertical="top"/>
    </xf>
    <xf numFmtId="0" fontId="18" fillId="0" borderId="0" xfId="0" applyFont="1" applyAlignment="1">
      <alignment horizontal="center" vertical="center"/>
    </xf>
    <xf numFmtId="0" fontId="65" fillId="0" borderId="0" xfId="0" applyFont="1" applyAlignment="1">
      <alignment horizontal="left" vertical="top"/>
    </xf>
    <xf numFmtId="0" fontId="79" fillId="0" borderId="0" xfId="0" applyFont="1" applyAlignment="1">
      <alignment horizontal="left" vertical="top" wrapText="1"/>
    </xf>
    <xf numFmtId="0" fontId="17" fillId="0" borderId="0" xfId="0" applyFont="1" applyAlignment="1">
      <alignment horizontal="left" vertical="center"/>
    </xf>
    <xf numFmtId="0" fontId="38" fillId="0" borderId="4" xfId="0" applyFont="1" applyBorder="1" applyAlignment="1">
      <alignment horizontal="center" vertical="center"/>
    </xf>
    <xf numFmtId="0" fontId="38" fillId="0" borderId="4" xfId="0" applyFont="1" applyBorder="1" applyAlignment="1">
      <alignment horizontal="left" vertical="top" wrapText="1"/>
    </xf>
    <xf numFmtId="0" fontId="18" fillId="0" borderId="0" xfId="0" applyFont="1" applyAlignment="1">
      <alignment horizontal="center" vertical="top"/>
    </xf>
    <xf numFmtId="0" fontId="38" fillId="0" borderId="0" xfId="0" applyFont="1" applyAlignment="1">
      <alignment horizontal="left" vertical="top"/>
    </xf>
    <xf numFmtId="0" fontId="17" fillId="0" borderId="0" xfId="0" applyFont="1" applyAlignment="1">
      <alignment horizontal="center" vertical="top" wrapText="1"/>
    </xf>
    <xf numFmtId="0" fontId="38" fillId="0" borderId="17" xfId="0" applyFont="1" applyBorder="1" applyAlignment="1">
      <alignment horizontal="left" vertical="top" wrapText="1"/>
    </xf>
    <xf numFmtId="0" fontId="81" fillId="0" borderId="0" xfId="0" applyFont="1" applyAlignment="1">
      <alignment horizontal="left" vertical="top"/>
    </xf>
    <xf numFmtId="0" fontId="82" fillId="0" borderId="0" xfId="0" applyFont="1" applyAlignment="1">
      <alignment horizontal="left" vertical="top"/>
    </xf>
    <xf numFmtId="0" fontId="82" fillId="0" borderId="0" xfId="0" applyFont="1" applyAlignment="1">
      <alignment horizontal="left" vertical="top" wrapText="1"/>
    </xf>
    <xf numFmtId="0" fontId="80" fillId="0" borderId="0" xfId="0" applyFont="1" applyAlignment="1">
      <alignment horizontal="left" vertical="top"/>
    </xf>
    <xf numFmtId="0" fontId="83" fillId="0" borderId="0" xfId="0" applyFont="1" applyAlignment="1">
      <alignment horizontal="left" vertical="top" wrapText="1"/>
    </xf>
    <xf numFmtId="0" fontId="18" fillId="0" borderId="0" xfId="0" applyFont="1" applyAlignment="1">
      <alignment horizontal="left" vertical="top" wrapText="1"/>
    </xf>
    <xf numFmtId="0" fontId="17" fillId="0" borderId="0" xfId="0" applyFont="1" applyAlignment="1">
      <alignment horizontal="left" vertical="top" wrapText="1"/>
    </xf>
    <xf numFmtId="49" fontId="38" fillId="0" borderId="16" xfId="2" applyNumberFormat="1" applyFont="1" applyFill="1" applyBorder="1" applyAlignment="1">
      <alignment horizontal="left" vertical="top" wrapText="1"/>
    </xf>
    <xf numFmtId="14" fontId="38" fillId="0" borderId="16" xfId="2" applyNumberFormat="1" applyFont="1" applyFill="1" applyBorder="1" applyAlignment="1">
      <alignment horizontal="left" vertical="top" wrapText="1"/>
    </xf>
    <xf numFmtId="0" fontId="73" fillId="0" borderId="0" xfId="0" applyFont="1" applyAlignment="1">
      <alignment horizontal="left" vertical="top"/>
    </xf>
    <xf numFmtId="0" fontId="38" fillId="0" borderId="16" xfId="0" applyFont="1" applyBorder="1" applyAlignment="1">
      <alignment horizontal="left" vertical="top" wrapText="1"/>
    </xf>
    <xf numFmtId="10" fontId="38" fillId="0" borderId="16" xfId="208" applyNumberFormat="1" applyFont="1" applyFill="1" applyBorder="1" applyAlignment="1">
      <alignment horizontal="left" vertical="top" wrapText="1"/>
    </xf>
    <xf numFmtId="0" fontId="78" fillId="0" borderId="0" xfId="0" applyFont="1" applyAlignment="1">
      <alignment horizontal="left" vertical="top"/>
    </xf>
    <xf numFmtId="0" fontId="38" fillId="0" borderId="16" xfId="2" applyFont="1" applyBorder="1" applyAlignment="1">
      <alignment horizontal="left" vertical="top" wrapText="1"/>
    </xf>
    <xf numFmtId="0" fontId="68" fillId="0" borderId="0" xfId="0" applyFont="1" applyAlignment="1">
      <alignment horizontal="left" vertical="top"/>
    </xf>
    <xf numFmtId="0" fontId="74" fillId="0" borderId="0" xfId="0" applyFont="1" applyAlignment="1">
      <alignment horizontal="center" vertical="top"/>
    </xf>
    <xf numFmtId="0" fontId="74" fillId="0" borderId="0" xfId="0" applyFont="1" applyAlignment="1">
      <alignment horizontal="left" vertical="top"/>
    </xf>
    <xf numFmtId="0" fontId="84" fillId="0" borderId="0" xfId="0" applyFont="1" applyAlignment="1">
      <alignment horizontal="left" vertical="top"/>
    </xf>
    <xf numFmtId="0" fontId="38" fillId="0" borderId="0" xfId="0" applyFont="1" applyAlignment="1">
      <alignment horizontal="left" vertical="top" wrapText="1"/>
    </xf>
    <xf numFmtId="0" fontId="38" fillId="0" borderId="21" xfId="0" applyFont="1" applyBorder="1" applyAlignment="1">
      <alignment horizontal="left" vertical="top" wrapText="1"/>
    </xf>
    <xf numFmtId="0" fontId="38" fillId="0" borderId="22" xfId="0" applyFont="1" applyBorder="1" applyAlignment="1">
      <alignment horizontal="left" vertical="top" wrapText="1"/>
    </xf>
    <xf numFmtId="0" fontId="76" fillId="0" borderId="0" xfId="0" applyFont="1" applyAlignment="1">
      <alignment horizontal="left" vertical="top" wrapText="1"/>
    </xf>
    <xf numFmtId="0" fontId="70" fillId="0" borderId="0" xfId="0" applyFont="1" applyAlignment="1">
      <alignment horizontal="left" vertical="top"/>
    </xf>
    <xf numFmtId="0" fontId="69" fillId="0" borderId="16" xfId="0" applyFont="1" applyBorder="1" applyAlignment="1">
      <alignment horizontal="left" vertical="top" wrapText="1"/>
    </xf>
    <xf numFmtId="0" fontId="16" fillId="0" borderId="0" xfId="0" applyFont="1"/>
    <xf numFmtId="0" fontId="16" fillId="0" borderId="0" xfId="0" applyFont="1" applyAlignment="1">
      <alignment wrapText="1"/>
    </xf>
    <xf numFmtId="0" fontId="16" fillId="0" borderId="0" xfId="0" applyFont="1" applyAlignment="1">
      <alignment horizontal="left"/>
    </xf>
    <xf numFmtId="0" fontId="16" fillId="0" borderId="0" xfId="0" applyFont="1" applyAlignment="1">
      <alignment horizontal="left" vertical="top"/>
    </xf>
    <xf numFmtId="0" fontId="76" fillId="0" borderId="17" xfId="0" applyFont="1" applyBorder="1" applyAlignment="1">
      <alignment horizontal="left" vertical="top" wrapText="1"/>
    </xf>
    <xf numFmtId="0" fontId="76" fillId="0" borderId="22" xfId="0" applyFont="1" applyBorder="1" applyAlignment="1">
      <alignment horizontal="left" vertical="top" wrapText="1"/>
    </xf>
    <xf numFmtId="0" fontId="86" fillId="0" borderId="0" xfId="0" applyFont="1" applyAlignment="1">
      <alignment horizontal="left" vertical="top" wrapText="1"/>
    </xf>
    <xf numFmtId="0" fontId="76" fillId="0" borderId="32" xfId="0" applyFont="1" applyBorder="1" applyAlignment="1">
      <alignment horizontal="left" vertical="top" wrapText="1"/>
    </xf>
    <xf numFmtId="0" fontId="69" fillId="0" borderId="18" xfId="0" applyFont="1" applyBorder="1" applyAlignment="1">
      <alignment horizontal="left" vertical="top" wrapText="1"/>
    </xf>
    <xf numFmtId="0" fontId="76" fillId="0" borderId="37" xfId="0" applyFont="1" applyBorder="1" applyAlignment="1">
      <alignment horizontal="left" vertical="top" wrapText="1"/>
    </xf>
    <xf numFmtId="0" fontId="64" fillId="0" borderId="38" xfId="0" applyFont="1" applyBorder="1" applyAlignment="1">
      <alignment horizontal="left" vertical="top" wrapText="1"/>
    </xf>
    <xf numFmtId="0" fontId="75" fillId="0" borderId="0" xfId="0" applyFont="1"/>
    <xf numFmtId="0" fontId="16" fillId="0" borderId="2" xfId="0" applyFont="1" applyBorder="1"/>
    <xf numFmtId="0" fontId="16" fillId="0" borderId="23" xfId="0" applyFont="1" applyBorder="1" applyAlignment="1">
      <alignment vertical="top" wrapText="1"/>
    </xf>
    <xf numFmtId="0" fontId="16" fillId="0" borderId="1" xfId="0" applyFont="1" applyBorder="1"/>
    <xf numFmtId="0" fontId="16" fillId="0" borderId="3" xfId="0" applyFont="1" applyBorder="1"/>
    <xf numFmtId="0" fontId="16" fillId="0" borderId="23" xfId="0" applyFont="1" applyBorder="1"/>
    <xf numFmtId="14" fontId="16" fillId="0" borderId="23" xfId="0" applyNumberFormat="1" applyFont="1" applyBorder="1"/>
    <xf numFmtId="0" fontId="16" fillId="0" borderId="25" xfId="0" applyFont="1" applyBorder="1"/>
    <xf numFmtId="0" fontId="16" fillId="0" borderId="29" xfId="0" applyFont="1" applyBorder="1"/>
    <xf numFmtId="0" fontId="38" fillId="0" borderId="0" xfId="2" applyFont="1"/>
    <xf numFmtId="0" fontId="89" fillId="0" borderId="0" xfId="0" applyFont="1" applyAlignment="1">
      <alignment horizontal="left" vertical="top"/>
    </xf>
    <xf numFmtId="0" fontId="90" fillId="0" borderId="0" xfId="0" applyFont="1" applyAlignment="1">
      <alignment vertical="top" wrapText="1"/>
    </xf>
    <xf numFmtId="0" fontId="80" fillId="0" borderId="0" xfId="0" applyFont="1" applyAlignment="1">
      <alignment horizontal="center" vertical="top"/>
    </xf>
    <xf numFmtId="0" fontId="91" fillId="0" borderId="0" xfId="0" applyFont="1" applyAlignment="1">
      <alignment horizontal="left" vertical="top"/>
    </xf>
    <xf numFmtId="0" fontId="93" fillId="0" borderId="0" xfId="0" applyFont="1" applyAlignment="1">
      <alignment vertical="top"/>
    </xf>
    <xf numFmtId="0" fontId="92" fillId="0" borderId="0" xfId="0" applyFont="1" applyAlignment="1">
      <alignment vertical="top"/>
    </xf>
    <xf numFmtId="0" fontId="91" fillId="0" borderId="0" xfId="0" applyFont="1" applyAlignment="1">
      <alignment vertical="top"/>
    </xf>
    <xf numFmtId="0" fontId="91" fillId="0" borderId="0" xfId="0" applyFont="1" applyAlignment="1">
      <alignment horizontal="center" vertical="top"/>
    </xf>
    <xf numFmtId="0" fontId="16" fillId="0" borderId="0" xfId="0" applyFont="1" applyAlignment="1">
      <alignment horizontal="center" vertical="center"/>
    </xf>
    <xf numFmtId="0" fontId="77" fillId="0" borderId="0" xfId="0" applyFont="1" applyAlignment="1">
      <alignment horizontal="left" vertical="top"/>
    </xf>
    <xf numFmtId="0" fontId="38" fillId="0" borderId="0" xfId="0" applyFont="1" applyAlignment="1">
      <alignment horizontal="center"/>
    </xf>
    <xf numFmtId="0" fontId="15" fillId="0" borderId="2" xfId="0" applyFont="1" applyBorder="1"/>
    <xf numFmtId="0" fontId="15" fillId="0" borderId="1" xfId="0" applyFont="1" applyBorder="1"/>
    <xf numFmtId="0" fontId="17" fillId="0" borderId="23" xfId="0" applyFont="1" applyBorder="1"/>
    <xf numFmtId="0" fontId="17" fillId="0" borderId="23" xfId="0" applyFont="1" applyBorder="1" applyAlignment="1">
      <alignment horizontal="center"/>
    </xf>
    <xf numFmtId="0" fontId="12" fillId="0" borderId="0" xfId="0" applyFont="1"/>
    <xf numFmtId="0" fontId="12" fillId="0" borderId="0" xfId="0" applyFont="1" applyAlignment="1">
      <alignment horizontal="center"/>
    </xf>
    <xf numFmtId="0" fontId="87" fillId="0" borderId="39" xfId="0" applyFont="1" applyBorder="1" applyAlignment="1">
      <alignment horizontal="left" vertical="top" wrapText="1"/>
    </xf>
    <xf numFmtId="0" fontId="87" fillId="0" borderId="40" xfId="0" applyFont="1" applyBorder="1" applyAlignment="1">
      <alignment horizontal="left" vertical="top" wrapText="1"/>
    </xf>
    <xf numFmtId="0" fontId="12" fillId="0" borderId="41" xfId="0" applyFont="1" applyBorder="1"/>
    <xf numFmtId="0" fontId="12" fillId="0" borderId="42" xfId="0" applyFont="1" applyBorder="1"/>
    <xf numFmtId="0" fontId="87" fillId="0" borderId="43" xfId="0" applyFont="1" applyBorder="1" applyAlignment="1">
      <alignment vertical="center" wrapText="1"/>
    </xf>
    <xf numFmtId="0" fontId="12" fillId="0" borderId="43" xfId="0" applyFont="1" applyBorder="1" applyAlignment="1">
      <alignment horizontal="left" vertical="center" wrapText="1"/>
    </xf>
    <xf numFmtId="2" fontId="12" fillId="0" borderId="43" xfId="0" applyNumberFormat="1" applyFont="1" applyBorder="1" applyAlignment="1">
      <alignment horizontal="center" vertical="center" wrapText="1"/>
    </xf>
    <xf numFmtId="0" fontId="12" fillId="0" borderId="43" xfId="0" applyFont="1" applyBorder="1" applyAlignment="1">
      <alignment vertical="center" wrapText="1"/>
    </xf>
    <xf numFmtId="0" fontId="96" fillId="0" borderId="0" xfId="0" applyFont="1" applyAlignment="1">
      <alignment horizontal="left" vertical="top"/>
    </xf>
    <xf numFmtId="0" fontId="71" fillId="0" borderId="0" xfId="0" applyFont="1" applyAlignment="1">
      <alignment horizontal="left" vertical="top"/>
    </xf>
    <xf numFmtId="0" fontId="71" fillId="0" borderId="0" xfId="0" applyFont="1" applyAlignment="1">
      <alignment horizontal="left" vertical="top" wrapText="1"/>
    </xf>
    <xf numFmtId="0" fontId="76" fillId="0" borderId="0" xfId="0" applyFont="1" applyAlignment="1">
      <alignment horizontal="left" vertical="top"/>
    </xf>
    <xf numFmtId="0" fontId="12" fillId="0" borderId="0" xfId="0" applyFont="1" applyAlignment="1">
      <alignment horizontal="left" vertical="top"/>
    </xf>
    <xf numFmtId="0" fontId="69" fillId="0" borderId="21" xfId="0" applyFont="1" applyBorder="1" applyAlignment="1">
      <alignment horizontal="left" vertical="top" wrapText="1"/>
    </xf>
    <xf numFmtId="0" fontId="97" fillId="0" borderId="0" xfId="0" applyFont="1"/>
    <xf numFmtId="0" fontId="97" fillId="0" borderId="0" xfId="0" applyFont="1" applyAlignment="1">
      <alignment horizontal="left" vertical="top"/>
    </xf>
    <xf numFmtId="0" fontId="97" fillId="0" borderId="0" xfId="0" applyFont="1" applyAlignment="1">
      <alignment horizontal="left" vertical="top" wrapText="1"/>
    </xf>
    <xf numFmtId="0" fontId="11" fillId="0" borderId="0" xfId="0" applyFont="1"/>
    <xf numFmtId="0" fontId="76" fillId="0" borderId="38" xfId="0" applyFont="1" applyBorder="1" applyAlignment="1">
      <alignment horizontal="left" vertical="top" wrapText="1"/>
    </xf>
    <xf numFmtId="0" fontId="97" fillId="0" borderId="0" xfId="0" applyFont="1" applyAlignment="1">
      <alignment vertical="center"/>
    </xf>
    <xf numFmtId="0" fontId="96" fillId="0" borderId="0" xfId="0" applyFont="1"/>
    <xf numFmtId="0" fontId="96" fillId="0" borderId="0" xfId="0" applyFont="1" applyAlignment="1">
      <alignment horizontal="left"/>
    </xf>
    <xf numFmtId="0" fontId="11" fillId="0" borderId="0" xfId="0" applyFont="1" applyAlignment="1">
      <alignment horizontal="center"/>
    </xf>
    <xf numFmtId="0" fontId="11" fillId="0" borderId="0" xfId="0" applyFont="1" applyAlignment="1">
      <alignment horizontal="center" vertical="center"/>
    </xf>
    <xf numFmtId="0" fontId="11" fillId="0" borderId="0" xfId="0" applyFont="1" applyAlignment="1">
      <alignment vertical="center"/>
    </xf>
    <xf numFmtId="0" fontId="72" fillId="0" borderId="0" xfId="0" applyFont="1" applyAlignment="1">
      <alignment horizontal="right" vertical="center"/>
    </xf>
    <xf numFmtId="44" fontId="72" fillId="65" borderId="23" xfId="1" applyFont="1" applyFill="1" applyBorder="1" applyAlignment="1">
      <alignment horizontal="center" vertical="center"/>
    </xf>
    <xf numFmtId="0" fontId="97" fillId="0" borderId="0" xfId="0" applyFont="1" applyAlignment="1">
      <alignment horizontal="center"/>
    </xf>
    <xf numFmtId="44" fontId="11" fillId="0" borderId="16" xfId="1" applyFont="1" applyBorder="1" applyAlignment="1">
      <alignment horizontal="center" vertical="center"/>
    </xf>
    <xf numFmtId="0" fontId="96" fillId="0" borderId="0" xfId="0" applyFont="1" applyAlignment="1">
      <alignment vertical="top"/>
    </xf>
    <xf numFmtId="0" fontId="11" fillId="0" borderId="0" xfId="0" applyFont="1" applyAlignment="1">
      <alignment horizontal="left" vertical="top"/>
    </xf>
    <xf numFmtId="0" fontId="69" fillId="0" borderId="21" xfId="0" applyFont="1" applyBorder="1" applyAlignment="1">
      <alignment horizontal="center" wrapText="1"/>
    </xf>
    <xf numFmtId="44" fontId="0" fillId="0" borderId="0" xfId="1" applyFont="1" applyFill="1"/>
    <xf numFmtId="0" fontId="9" fillId="0" borderId="0" xfId="0" applyFont="1" applyAlignment="1">
      <alignment vertical="top" wrapText="1"/>
    </xf>
    <xf numFmtId="0" fontId="69" fillId="0" borderId="16" xfId="0" applyFont="1" applyBorder="1" applyAlignment="1">
      <alignment horizontal="left" vertical="center"/>
    </xf>
    <xf numFmtId="0" fontId="8" fillId="0" borderId="43" xfId="0" applyFont="1" applyBorder="1" applyAlignment="1">
      <alignment horizontal="left" vertical="center" wrapText="1"/>
    </xf>
    <xf numFmtId="0" fontId="38" fillId="0" borderId="0" xfId="0" applyFont="1" applyAlignment="1">
      <alignment vertical="top" wrapText="1"/>
    </xf>
    <xf numFmtId="0" fontId="5" fillId="0" borderId="0" xfId="0" applyFont="1" applyAlignment="1">
      <alignment vertical="center"/>
    </xf>
    <xf numFmtId="0" fontId="38" fillId="0" borderId="16" xfId="2" applyNumberFormat="1" applyFont="1" applyFill="1" applyBorder="1" applyAlignment="1">
      <alignment horizontal="left" vertical="top" wrapText="1"/>
    </xf>
    <xf numFmtId="0" fontId="90" fillId="0" borderId="0" xfId="0" applyFont="1" applyAlignment="1">
      <alignment horizontal="center" vertical="top" wrapText="1"/>
    </xf>
    <xf numFmtId="0" fontId="38" fillId="0" borderId="18" xfId="0" applyFont="1" applyBorder="1" applyAlignment="1">
      <alignment horizontal="left" vertical="top" wrapText="1"/>
    </xf>
    <xf numFmtId="0" fontId="4" fillId="0" borderId="16" xfId="0" applyFont="1" applyBorder="1" applyAlignment="1">
      <alignment horizontal="left" vertical="top" wrapText="1"/>
    </xf>
    <xf numFmtId="0" fontId="38" fillId="0" borderId="37" xfId="0" applyFont="1" applyBorder="1" applyAlignment="1">
      <alignment horizontal="left" vertical="top" wrapText="1"/>
    </xf>
    <xf numFmtId="0" fontId="38" fillId="0" borderId="38" xfId="0" applyFont="1" applyBorder="1" applyAlignment="1">
      <alignment horizontal="left" vertical="top" wrapText="1"/>
    </xf>
    <xf numFmtId="0" fontId="38" fillId="0" borderId="36" xfId="0" applyFont="1" applyBorder="1" applyAlignment="1">
      <alignment horizontal="left" vertical="top" wrapText="1"/>
    </xf>
    <xf numFmtId="0" fontId="4" fillId="0" borderId="0" xfId="0" applyFont="1" applyAlignment="1">
      <alignment horizontal="left" vertical="top"/>
    </xf>
    <xf numFmtId="0" fontId="4" fillId="67" borderId="16" xfId="0" applyFont="1" applyFill="1" applyBorder="1" applyAlignment="1">
      <alignment horizontal="left" vertical="top" wrapText="1"/>
    </xf>
    <xf numFmtId="0" fontId="83" fillId="0" borderId="0" xfId="0" applyFont="1" applyAlignment="1">
      <alignment horizontal="left" vertical="top"/>
    </xf>
    <xf numFmtId="0" fontId="38" fillId="0" borderId="0" xfId="0" applyFont="1" applyAlignment="1">
      <alignment horizontal="center" vertical="top"/>
    </xf>
    <xf numFmtId="0" fontId="100" fillId="0" borderId="0" xfId="0" applyFont="1" applyAlignment="1">
      <alignment horizontal="left" vertical="top"/>
    </xf>
    <xf numFmtId="0" fontId="38" fillId="0" borderId="17" xfId="2" applyNumberFormat="1" applyFont="1" applyFill="1" applyBorder="1" applyAlignment="1">
      <alignment horizontal="left" vertical="top" wrapText="1"/>
    </xf>
    <xf numFmtId="0" fontId="69" fillId="0" borderId="36" xfId="0" applyFont="1" applyBorder="1" applyAlignment="1">
      <alignment horizontal="left" vertical="top" wrapText="1"/>
    </xf>
    <xf numFmtId="0" fontId="4" fillId="0" borderId="16" xfId="0" applyFont="1" applyBorder="1" applyAlignment="1">
      <alignment horizontal="left" vertical="top"/>
    </xf>
    <xf numFmtId="0" fontId="4" fillId="0" borderId="17" xfId="0" applyFont="1" applyBorder="1" applyAlignment="1">
      <alignment horizontal="left" vertical="top" wrapText="1"/>
    </xf>
    <xf numFmtId="0" fontId="69" fillId="0" borderId="21" xfId="0" applyFont="1" applyBorder="1" applyAlignment="1">
      <alignment horizontal="left" vertical="top"/>
    </xf>
    <xf numFmtId="0" fontId="69" fillId="0" borderId="53" xfId="0" applyFont="1" applyBorder="1" applyAlignment="1">
      <alignment horizontal="left" vertical="top" wrapText="1"/>
    </xf>
    <xf numFmtId="0" fontId="38" fillId="0" borderId="52" xfId="0" applyFont="1" applyBorder="1" applyAlignment="1">
      <alignment horizontal="left" vertical="top" wrapText="1"/>
    </xf>
    <xf numFmtId="0" fontId="38" fillId="0" borderId="52" xfId="2" applyNumberFormat="1" applyFont="1" applyFill="1" applyBorder="1" applyAlignment="1">
      <alignment horizontal="left" vertical="top" wrapText="1"/>
    </xf>
    <xf numFmtId="0" fontId="4" fillId="0" borderId="52" xfId="0" applyFont="1" applyBorder="1" applyAlignment="1">
      <alignment horizontal="left" vertical="top" wrapText="1"/>
    </xf>
    <xf numFmtId="0" fontId="38" fillId="0" borderId="55" xfId="0" applyFont="1" applyBorder="1" applyAlignment="1">
      <alignment horizontal="left" vertical="top" wrapText="1"/>
    </xf>
    <xf numFmtId="0" fontId="4" fillId="65" borderId="52" xfId="0" applyFont="1" applyFill="1" applyBorder="1" applyAlignment="1">
      <alignment horizontal="left" vertical="top" wrapText="1"/>
    </xf>
    <xf numFmtId="0" fontId="38" fillId="65" borderId="52" xfId="2" applyNumberFormat="1" applyFont="1" applyFill="1" applyBorder="1" applyAlignment="1">
      <alignment horizontal="left" vertical="top" wrapText="1"/>
    </xf>
    <xf numFmtId="0" fontId="69" fillId="0" borderId="53" xfId="0" applyFont="1" applyBorder="1" applyAlignment="1">
      <alignment horizontal="left" vertical="top"/>
    </xf>
    <xf numFmtId="0" fontId="83" fillId="0" borderId="0" xfId="0" applyFont="1" applyAlignment="1">
      <alignment horizontal="center" vertical="top"/>
    </xf>
    <xf numFmtId="0" fontId="4" fillId="0" borderId="19" xfId="0" applyFont="1" applyBorder="1" applyAlignment="1">
      <alignment horizontal="center" vertical="top" wrapText="1"/>
    </xf>
    <xf numFmtId="0" fontId="4" fillId="0" borderId="32" xfId="0" applyFont="1" applyBorder="1" applyAlignment="1">
      <alignment horizontal="center" vertical="top" wrapText="1"/>
    </xf>
    <xf numFmtId="0" fontId="4" fillId="0" borderId="22" xfId="0" applyFont="1" applyBorder="1" applyAlignment="1">
      <alignment horizontal="left" vertical="top" wrapText="1"/>
    </xf>
    <xf numFmtId="0" fontId="4" fillId="0" borderId="21" xfId="0" applyFont="1" applyBorder="1" applyAlignment="1">
      <alignment horizontal="left" vertical="top" wrapText="1"/>
    </xf>
    <xf numFmtId="0" fontId="38" fillId="0" borderId="16" xfId="0" applyFont="1" applyBorder="1" applyAlignment="1">
      <alignment horizontal="left" vertical="top"/>
    </xf>
    <xf numFmtId="0" fontId="38" fillId="0" borderId="17" xfId="0" applyFont="1" applyBorder="1" applyAlignment="1">
      <alignment horizontal="left" vertical="top"/>
    </xf>
    <xf numFmtId="0" fontId="69" fillId="0" borderId="48" xfId="0" applyFont="1" applyBorder="1" applyAlignment="1">
      <alignment horizontal="left" vertical="top" wrapText="1"/>
    </xf>
    <xf numFmtId="0" fontId="69" fillId="0" borderId="49" xfId="0" applyFont="1" applyBorder="1" applyAlignment="1">
      <alignment horizontal="left" vertical="top" wrapText="1"/>
    </xf>
    <xf numFmtId="0" fontId="69" fillId="0" borderId="50" xfId="0" applyFont="1" applyBorder="1" applyAlignment="1">
      <alignment horizontal="left" vertical="top" wrapText="1"/>
    </xf>
    <xf numFmtId="0" fontId="38" fillId="0" borderId="56" xfId="0" applyFont="1" applyBorder="1" applyAlignment="1">
      <alignment horizontal="left" vertical="top" wrapText="1"/>
    </xf>
    <xf numFmtId="0" fontId="38" fillId="0" borderId="58" xfId="2" applyNumberFormat="1" applyFont="1" applyFill="1" applyBorder="1" applyAlignment="1">
      <alignment horizontal="left" vertical="top" wrapText="1"/>
    </xf>
    <xf numFmtId="0" fontId="38" fillId="0" borderId="59" xfId="2" applyNumberFormat="1" applyFont="1" applyFill="1" applyBorder="1" applyAlignment="1">
      <alignment horizontal="left" vertical="top" wrapText="1"/>
    </xf>
    <xf numFmtId="0" fontId="4" fillId="0" borderId="57" xfId="0" applyFont="1" applyBorder="1" applyAlignment="1">
      <alignment horizontal="center" vertical="top" wrapText="1"/>
    </xf>
    <xf numFmtId="0" fontId="69" fillId="0" borderId="49" xfId="0" applyFont="1" applyBorder="1" applyAlignment="1">
      <alignment horizontal="left" vertical="top"/>
    </xf>
    <xf numFmtId="0" fontId="38" fillId="0" borderId="60" xfId="0" applyFont="1" applyBorder="1" applyAlignment="1">
      <alignment vertical="top" wrapText="1"/>
    </xf>
    <xf numFmtId="0" fontId="84" fillId="0" borderId="0" xfId="0" applyFont="1" applyAlignment="1">
      <alignment horizontal="center" vertical="top"/>
    </xf>
    <xf numFmtId="0" fontId="38" fillId="0" borderId="58" xfId="2" applyNumberFormat="1" applyFont="1" applyFill="1" applyBorder="1" applyAlignment="1">
      <alignment horizontal="center" vertical="top" wrapText="1"/>
    </xf>
    <xf numFmtId="0" fontId="69" fillId="0" borderId="21" xfId="0" applyFont="1" applyBorder="1" applyAlignment="1">
      <alignment horizontal="center" vertical="top" wrapText="1"/>
    </xf>
    <xf numFmtId="0" fontId="69" fillId="0" borderId="21" xfId="0" applyFont="1" applyBorder="1" applyAlignment="1">
      <alignment vertical="top" wrapText="1"/>
    </xf>
    <xf numFmtId="0" fontId="38" fillId="0" borderId="16" xfId="2" applyNumberFormat="1" applyFont="1" applyFill="1" applyBorder="1" applyAlignment="1">
      <alignment horizontal="center" vertical="top" wrapText="1"/>
    </xf>
    <xf numFmtId="0" fontId="3" fillId="0" borderId="16" xfId="0" applyFont="1" applyBorder="1" applyAlignment="1">
      <alignment horizontal="left" vertical="top"/>
    </xf>
    <xf numFmtId="0" fontId="69" fillId="0" borderId="34" xfId="0" applyFont="1" applyBorder="1" applyAlignment="1">
      <alignment vertical="top" wrapText="1"/>
    </xf>
    <xf numFmtId="0" fontId="38" fillId="0" borderId="17" xfId="2" applyNumberFormat="1" applyFont="1" applyFill="1" applyBorder="1" applyAlignment="1">
      <alignment horizontal="center" vertical="top" wrapText="1"/>
    </xf>
    <xf numFmtId="0" fontId="38" fillId="0" borderId="17" xfId="2" applyNumberFormat="1" applyFont="1" applyFill="1" applyBorder="1" applyAlignment="1">
      <alignment horizontal="left" vertical="top"/>
    </xf>
    <xf numFmtId="0" fontId="38" fillId="0" borderId="0" xfId="2" applyNumberFormat="1" applyFont="1" applyFill="1" applyBorder="1" applyAlignment="1">
      <alignment horizontal="center" vertical="top" wrapText="1"/>
    </xf>
    <xf numFmtId="0" fontId="3" fillId="0" borderId="0" xfId="0" applyFont="1" applyAlignment="1">
      <alignment horizontal="left" vertical="top"/>
    </xf>
    <xf numFmtId="0" fontId="3" fillId="0" borderId="0" xfId="0" applyFont="1" applyAlignment="1">
      <alignment horizontal="left" vertical="top" wrapText="1"/>
    </xf>
    <xf numFmtId="0" fontId="38" fillId="0" borderId="0" xfId="2" applyNumberFormat="1"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center" vertical="top" wrapText="1"/>
    </xf>
    <xf numFmtId="0" fontId="4" fillId="0" borderId="17" xfId="0" applyFont="1" applyBorder="1" applyAlignment="1">
      <alignment horizontal="left" vertical="top"/>
    </xf>
    <xf numFmtId="0" fontId="38" fillId="0" borderId="17" xfId="0" applyFont="1" applyBorder="1" applyAlignment="1">
      <alignment vertical="top" wrapText="1"/>
    </xf>
    <xf numFmtId="0" fontId="69" fillId="0" borderId="53" xfId="0" applyFont="1" applyBorder="1" applyAlignment="1">
      <alignment vertical="top" wrapText="1"/>
    </xf>
    <xf numFmtId="0" fontId="69" fillId="0" borderId="53" xfId="0" applyFont="1" applyBorder="1" applyAlignment="1">
      <alignment horizontal="center" vertical="top" wrapText="1"/>
    </xf>
    <xf numFmtId="0" fontId="38" fillId="0" borderId="52" xfId="2" applyNumberFormat="1" applyFont="1" applyFill="1" applyBorder="1" applyAlignment="1">
      <alignment horizontal="center" vertical="top" wrapText="1"/>
    </xf>
    <xf numFmtId="0" fontId="3" fillId="0" borderId="52" xfId="0" applyFont="1" applyBorder="1" applyAlignment="1">
      <alignment horizontal="left" vertical="top"/>
    </xf>
    <xf numFmtId="0" fontId="3" fillId="0" borderId="55" xfId="0" applyFont="1" applyBorder="1" applyAlignment="1">
      <alignment horizontal="left" vertical="top"/>
    </xf>
    <xf numFmtId="0" fontId="87" fillId="0" borderId="52" xfId="0" applyFont="1" applyBorder="1" applyAlignment="1">
      <alignment horizontal="left" vertical="top" wrapText="1"/>
    </xf>
    <xf numFmtId="0" fontId="87" fillId="0" borderId="52" xfId="0" applyFont="1" applyBorder="1" applyAlignment="1">
      <alignment vertical="center" wrapText="1"/>
    </xf>
    <xf numFmtId="0" fontId="87" fillId="0" borderId="52" xfId="0" applyFont="1" applyBorder="1" applyAlignment="1">
      <alignment horizontal="center" vertical="center" wrapText="1"/>
    </xf>
    <xf numFmtId="0" fontId="87" fillId="0" borderId="52" xfId="0" applyFont="1" applyBorder="1" applyAlignment="1">
      <alignment horizontal="left" vertical="center" wrapText="1"/>
    </xf>
    <xf numFmtId="2" fontId="72" fillId="0" borderId="52" xfId="0" applyNumberFormat="1" applyFont="1" applyBorder="1" applyAlignment="1">
      <alignment horizontal="center" vertical="center" wrapText="1"/>
    </xf>
    <xf numFmtId="2" fontId="72" fillId="0" borderId="52" xfId="0" applyNumberFormat="1" applyFont="1" applyBorder="1" applyAlignment="1">
      <alignment horizontal="left" vertical="center" wrapText="1"/>
    </xf>
    <xf numFmtId="0" fontId="72" fillId="0" borderId="54" xfId="0" applyFont="1" applyBorder="1" applyAlignment="1">
      <alignment vertical="center" wrapText="1"/>
    </xf>
    <xf numFmtId="0" fontId="72" fillId="0" borderId="64" xfId="0" applyFont="1" applyBorder="1" applyAlignment="1">
      <alignment horizontal="right" vertical="center" wrapText="1"/>
    </xf>
    <xf numFmtId="0" fontId="12" fillId="0" borderId="52" xfId="0" applyFont="1" applyBorder="1"/>
    <xf numFmtId="0" fontId="91" fillId="0" borderId="0" xfId="0" applyFont="1" applyAlignment="1">
      <alignment horizontal="left" vertical="top" wrapText="1"/>
    </xf>
    <xf numFmtId="0" fontId="2" fillId="0" borderId="52" xfId="0" applyFont="1" applyBorder="1" applyAlignment="1">
      <alignment horizontal="left" vertical="top" wrapText="1"/>
    </xf>
    <xf numFmtId="0" fontId="101" fillId="0" borderId="0" xfId="0" applyFont="1" applyAlignment="1">
      <alignment horizontal="left"/>
    </xf>
    <xf numFmtId="0" fontId="101" fillId="0" borderId="0" xfId="0" applyFont="1"/>
    <xf numFmtId="0" fontId="38" fillId="0" borderId="19" xfId="0" applyFont="1" applyBorder="1" applyAlignment="1">
      <alignment horizontal="left" vertical="top" wrapText="1"/>
    </xf>
    <xf numFmtId="0" fontId="38" fillId="0" borderId="33" xfId="0" applyFont="1" applyBorder="1" applyAlignment="1">
      <alignment horizontal="left" vertical="top" wrapText="1"/>
    </xf>
    <xf numFmtId="0" fontId="65" fillId="0" borderId="0" xfId="0" applyFont="1" applyAlignment="1">
      <alignment horizontal="left" vertical="top" wrapText="1"/>
    </xf>
    <xf numFmtId="0" fontId="1" fillId="0" borderId="16" xfId="0" applyFont="1" applyBorder="1" applyAlignment="1">
      <alignment horizontal="left" vertical="top" wrapText="1"/>
    </xf>
    <xf numFmtId="0" fontId="38" fillId="0" borderId="33" xfId="2" applyNumberFormat="1" applyFont="1" applyFill="1" applyBorder="1" applyAlignment="1">
      <alignment horizontal="left" vertical="top" wrapText="1"/>
    </xf>
    <xf numFmtId="0" fontId="4" fillId="0" borderId="19" xfId="0" applyFont="1" applyBorder="1" applyAlignment="1">
      <alignment horizontal="left" vertical="top"/>
    </xf>
    <xf numFmtId="0" fontId="4" fillId="0" borderId="64" xfId="0" applyFont="1" applyBorder="1" applyAlignment="1">
      <alignment horizontal="left" vertical="top"/>
    </xf>
    <xf numFmtId="0" fontId="38" fillId="0" borderId="18" xfId="2" applyNumberFormat="1" applyFont="1" applyFill="1" applyBorder="1" applyAlignment="1">
      <alignment horizontal="left" vertical="top" wrapText="1"/>
    </xf>
    <xf numFmtId="0" fontId="69" fillId="0" borderId="57" xfId="0" applyFont="1" applyBorder="1" applyAlignment="1">
      <alignment horizontal="left" vertical="top" wrapText="1"/>
    </xf>
    <xf numFmtId="44" fontId="38" fillId="0" borderId="16" xfId="1" applyFont="1" applyFill="1" applyBorder="1" applyAlignment="1">
      <alignment horizontal="left" vertical="top" wrapText="1"/>
    </xf>
    <xf numFmtId="0" fontId="1" fillId="0" borderId="21" xfId="0" applyFont="1" applyBorder="1" applyAlignment="1">
      <alignment horizontal="left" vertical="top" wrapText="1"/>
    </xf>
    <xf numFmtId="0" fontId="38" fillId="0" borderId="21" xfId="2" applyNumberFormat="1" applyFont="1" applyFill="1" applyBorder="1" applyAlignment="1">
      <alignment horizontal="left" vertical="top" wrapText="1"/>
    </xf>
    <xf numFmtId="0" fontId="38" fillId="0" borderId="19" xfId="0" applyFont="1" applyBorder="1" applyAlignment="1">
      <alignment horizontal="left" vertical="top"/>
    </xf>
    <xf numFmtId="0" fontId="1" fillId="0" borderId="33" xfId="0" applyFont="1" applyBorder="1" applyAlignment="1">
      <alignment horizontal="left" vertical="top" wrapText="1"/>
    </xf>
    <xf numFmtId="0" fontId="1" fillId="0" borderId="16" xfId="0" applyFont="1" applyBorder="1" applyAlignment="1">
      <alignment horizontal="left" vertical="top"/>
    </xf>
    <xf numFmtId="0" fontId="38" fillId="65" borderId="16" xfId="2" applyNumberFormat="1" applyFont="1" applyFill="1" applyBorder="1" applyAlignment="1">
      <alignment horizontal="left" vertical="top" wrapText="1"/>
    </xf>
    <xf numFmtId="0" fontId="1" fillId="65" borderId="16" xfId="0" applyFont="1" applyFill="1" applyBorder="1" applyAlignment="1">
      <alignment horizontal="left" vertical="top" wrapText="1"/>
    </xf>
    <xf numFmtId="0" fontId="66" fillId="0" borderId="0" xfId="2" applyNumberFormat="1" applyBorder="1" applyAlignment="1">
      <alignment horizontal="left" vertical="top" wrapText="1"/>
    </xf>
    <xf numFmtId="0" fontId="4" fillId="65" borderId="16" xfId="0" applyFont="1" applyFill="1" applyBorder="1" applyAlignment="1">
      <alignment horizontal="left" vertical="top" wrapText="1"/>
    </xf>
    <xf numFmtId="0" fontId="38" fillId="0" borderId="18" xfId="2" applyNumberFormat="1" applyFont="1" applyFill="1" applyBorder="1" applyAlignment="1">
      <alignment horizontal="center" vertical="top" wrapText="1"/>
    </xf>
    <xf numFmtId="0" fontId="4" fillId="65" borderId="16" xfId="0" applyFont="1" applyFill="1" applyBorder="1" applyAlignment="1">
      <alignment horizontal="left" vertical="top"/>
    </xf>
    <xf numFmtId="0" fontId="1" fillId="0" borderId="17" xfId="0" applyFont="1" applyBorder="1" applyAlignment="1">
      <alignment horizontal="left" vertical="top"/>
    </xf>
    <xf numFmtId="0" fontId="1" fillId="0" borderId="52" xfId="0" applyFont="1" applyBorder="1" applyAlignment="1">
      <alignment horizontal="left" vertical="top"/>
    </xf>
    <xf numFmtId="0" fontId="38" fillId="0" borderId="67" xfId="0" applyFont="1" applyBorder="1" applyAlignment="1">
      <alignment horizontal="left" vertical="top" wrapText="1"/>
    </xf>
    <xf numFmtId="0" fontId="69" fillId="0" borderId="68" xfId="0" applyFont="1" applyBorder="1" applyAlignment="1">
      <alignment horizontal="left" vertical="top" wrapText="1"/>
    </xf>
    <xf numFmtId="0" fontId="69" fillId="0" borderId="69" xfId="0" applyFont="1" applyBorder="1" applyAlignment="1">
      <alignment horizontal="left" vertical="top"/>
    </xf>
    <xf numFmtId="0" fontId="69" fillId="0" borderId="0" xfId="0" applyFont="1" applyAlignment="1">
      <alignment horizontal="left" vertical="top"/>
    </xf>
    <xf numFmtId="0" fontId="1" fillId="65" borderId="0" xfId="0" applyFont="1" applyFill="1" applyAlignment="1">
      <alignment horizontal="left" vertical="top" wrapText="1"/>
    </xf>
    <xf numFmtId="0" fontId="98" fillId="0" borderId="16" xfId="0" applyFont="1" applyBorder="1" applyAlignment="1">
      <alignment horizontal="left" vertical="top" wrapText="1"/>
    </xf>
    <xf numFmtId="0" fontId="98" fillId="0" borderId="21" xfId="0" applyFont="1" applyBorder="1" applyAlignment="1">
      <alignment horizontal="left" vertical="top" wrapText="1"/>
    </xf>
    <xf numFmtId="0" fontId="98" fillId="65" borderId="21" xfId="0" applyFont="1" applyFill="1" applyBorder="1" applyAlignment="1">
      <alignment horizontal="left" vertical="top" wrapText="1"/>
    </xf>
    <xf numFmtId="0" fontId="98" fillId="0" borderId="0" xfId="0" applyFont="1" applyAlignment="1">
      <alignment horizontal="left" vertical="top" wrapText="1"/>
    </xf>
    <xf numFmtId="0" fontId="0" fillId="0" borderId="23" xfId="0" applyBorder="1" applyAlignment="1">
      <alignment horizontal="left" vertical="top" wrapText="1"/>
    </xf>
    <xf numFmtId="0" fontId="38" fillId="0" borderId="54" xfId="0" applyFont="1" applyBorder="1" applyAlignment="1">
      <alignment horizontal="left" vertical="top" wrapText="1"/>
    </xf>
    <xf numFmtId="0" fontId="69" fillId="0" borderId="70" xfId="0" applyFont="1" applyBorder="1" applyAlignment="1">
      <alignment horizontal="left" vertical="top"/>
    </xf>
    <xf numFmtId="0" fontId="4" fillId="0" borderId="36" xfId="0" applyFont="1" applyBorder="1" applyAlignment="1">
      <alignment horizontal="left" vertical="top"/>
    </xf>
    <xf numFmtId="0" fontId="4" fillId="0" borderId="33" xfId="0" applyFont="1" applyBorder="1" applyAlignment="1">
      <alignment horizontal="left" vertical="top" wrapText="1"/>
    </xf>
    <xf numFmtId="0" fontId="0" fillId="0" borderId="16" xfId="0" applyBorder="1" applyAlignment="1">
      <alignment horizontal="left" vertical="top" wrapText="1"/>
    </xf>
    <xf numFmtId="0" fontId="0" fillId="0" borderId="19" xfId="0" applyBorder="1" applyAlignment="1">
      <alignment horizontal="center" vertical="top" wrapText="1"/>
    </xf>
    <xf numFmtId="0" fontId="0" fillId="65" borderId="16" xfId="0" applyFill="1" applyBorder="1" applyAlignment="1">
      <alignment horizontal="left" vertical="top" wrapText="1"/>
    </xf>
    <xf numFmtId="0" fontId="38" fillId="68" borderId="16" xfId="0" applyFont="1" applyFill="1" applyBorder="1" applyAlignment="1">
      <alignment horizontal="left" vertical="top"/>
    </xf>
    <xf numFmtId="0" fontId="38" fillId="68" borderId="16" xfId="0" applyFont="1" applyFill="1" applyBorder="1" applyAlignment="1">
      <alignment horizontal="left" vertical="top" wrapText="1"/>
    </xf>
    <xf numFmtId="0" fontId="38" fillId="68" borderId="17" xfId="0" applyFont="1" applyFill="1" applyBorder="1" applyAlignment="1">
      <alignment horizontal="left" vertical="top" wrapText="1"/>
    </xf>
    <xf numFmtId="0" fontId="38" fillId="69" borderId="17" xfId="0" applyFont="1" applyFill="1" applyBorder="1" applyAlignment="1">
      <alignment horizontal="left" vertical="top"/>
    </xf>
    <xf numFmtId="0" fontId="38" fillId="69" borderId="17" xfId="0" applyFont="1" applyFill="1" applyBorder="1" applyAlignment="1">
      <alignment horizontal="left" vertical="top" wrapText="1"/>
    </xf>
    <xf numFmtId="0" fontId="38" fillId="69" borderId="22" xfId="0" applyFont="1" applyFill="1" applyBorder="1" applyAlignment="1">
      <alignment horizontal="left" vertical="top" wrapText="1"/>
    </xf>
    <xf numFmtId="0" fontId="38" fillId="69" borderId="16" xfId="0" applyFont="1" applyFill="1" applyBorder="1" applyAlignment="1">
      <alignment horizontal="left" vertical="top" wrapText="1"/>
    </xf>
    <xf numFmtId="0" fontId="38" fillId="69" borderId="21" xfId="0" applyFont="1" applyFill="1" applyBorder="1" applyAlignment="1">
      <alignment horizontal="left" vertical="top" wrapText="1"/>
    </xf>
    <xf numFmtId="0" fontId="38" fillId="70" borderId="17" xfId="0" applyFont="1" applyFill="1" applyBorder="1" applyAlignment="1">
      <alignment horizontal="left" vertical="top"/>
    </xf>
    <xf numFmtId="0" fontId="38" fillId="70" borderId="17" xfId="0" applyFont="1" applyFill="1" applyBorder="1" applyAlignment="1">
      <alignment horizontal="left" vertical="top" wrapText="1"/>
    </xf>
    <xf numFmtId="0" fontId="38" fillId="70" borderId="22" xfId="0" applyFont="1" applyFill="1" applyBorder="1" applyAlignment="1">
      <alignment horizontal="left" vertical="top" wrapText="1"/>
    </xf>
    <xf numFmtId="0" fontId="38" fillId="70" borderId="16" xfId="0" applyFont="1" applyFill="1" applyBorder="1" applyAlignment="1">
      <alignment horizontal="left" vertical="top" wrapText="1"/>
    </xf>
    <xf numFmtId="0" fontId="38" fillId="70" borderId="21" xfId="0" applyFont="1" applyFill="1" applyBorder="1" applyAlignment="1">
      <alignment horizontal="left" vertical="top" wrapText="1"/>
    </xf>
    <xf numFmtId="0" fontId="38" fillId="70" borderId="16" xfId="0" applyFont="1" applyFill="1" applyBorder="1" applyAlignment="1">
      <alignment horizontal="left" vertical="top"/>
    </xf>
    <xf numFmtId="0" fontId="38" fillId="71" borderId="17" xfId="0" applyFont="1" applyFill="1" applyBorder="1" applyAlignment="1">
      <alignment horizontal="left" vertical="top"/>
    </xf>
    <xf numFmtId="0" fontId="38" fillId="71" borderId="17" xfId="0" applyFont="1" applyFill="1" applyBorder="1" applyAlignment="1">
      <alignment horizontal="left" vertical="top" wrapText="1"/>
    </xf>
    <xf numFmtId="0" fontId="38" fillId="71" borderId="22" xfId="0" applyFont="1" applyFill="1" applyBorder="1" applyAlignment="1">
      <alignment horizontal="left" vertical="top" wrapText="1"/>
    </xf>
    <xf numFmtId="0" fontId="38" fillId="71" borderId="16" xfId="0" applyFont="1" applyFill="1" applyBorder="1" applyAlignment="1">
      <alignment horizontal="left" vertical="top" wrapText="1"/>
    </xf>
    <xf numFmtId="0" fontId="38" fillId="71" borderId="21" xfId="0" applyFont="1" applyFill="1" applyBorder="1" applyAlignment="1">
      <alignment horizontal="left" vertical="top" wrapText="1"/>
    </xf>
    <xf numFmtId="0" fontId="38" fillId="71" borderId="16" xfId="0" applyFont="1" applyFill="1" applyBorder="1" applyAlignment="1">
      <alignment horizontal="left" vertical="top"/>
    </xf>
    <xf numFmtId="0" fontId="0" fillId="0" borderId="0" xfId="0" applyAlignment="1">
      <alignment vertical="top"/>
    </xf>
    <xf numFmtId="0" fontId="0" fillId="0" borderId="16" xfId="0" applyBorder="1" applyAlignment="1">
      <alignment horizontal="left" vertical="top"/>
    </xf>
    <xf numFmtId="0" fontId="65" fillId="0" borderId="0" xfId="0" applyFont="1" applyAlignment="1">
      <alignment vertical="top" wrapText="1"/>
    </xf>
    <xf numFmtId="0" fontId="101" fillId="0" borderId="0" xfId="0" applyFont="1" applyAlignment="1">
      <alignment horizontal="left" vertical="top"/>
    </xf>
    <xf numFmtId="0" fontId="38" fillId="0" borderId="71" xfId="0" applyFont="1" applyBorder="1" applyAlignment="1">
      <alignment horizontal="left" vertical="top" wrapText="1"/>
    </xf>
    <xf numFmtId="0" fontId="38" fillId="0" borderId="72" xfId="0" applyFont="1" applyBorder="1" applyAlignment="1">
      <alignment horizontal="left" vertical="top" wrapText="1"/>
    </xf>
    <xf numFmtId="0" fontId="38" fillId="0" borderId="16" xfId="2" quotePrefix="1" applyFont="1" applyFill="1" applyBorder="1" applyAlignment="1">
      <alignment vertical="top"/>
    </xf>
    <xf numFmtId="0" fontId="0" fillId="0" borderId="4" xfId="0" applyBorder="1" applyAlignment="1">
      <alignment horizontal="left" vertical="top" wrapText="1"/>
    </xf>
    <xf numFmtId="0" fontId="0" fillId="0" borderId="74" xfId="0" applyBorder="1" applyAlignment="1">
      <alignment vertical="center" wrapText="1"/>
    </xf>
    <xf numFmtId="0" fontId="85" fillId="0" borderId="73" xfId="0" applyFont="1" applyBorder="1"/>
    <xf numFmtId="0" fontId="38" fillId="0" borderId="4" xfId="0" applyFont="1" applyBorder="1" applyAlignment="1">
      <alignment horizontal="left" vertical="top"/>
    </xf>
    <xf numFmtId="0" fontId="0" fillId="0" borderId="4" xfId="0" applyBorder="1" applyAlignment="1">
      <alignment vertical="center" wrapText="1"/>
    </xf>
    <xf numFmtId="0" fontId="70" fillId="72" borderId="4" xfId="0" applyFont="1" applyFill="1" applyBorder="1" applyAlignment="1">
      <alignment horizontal="left" vertical="top"/>
    </xf>
    <xf numFmtId="0" fontId="70" fillId="72" borderId="5" xfId="0" applyFont="1" applyFill="1" applyBorder="1" applyAlignment="1">
      <alignment horizontal="left" vertical="top"/>
    </xf>
    <xf numFmtId="0" fontId="70" fillId="72" borderId="6" xfId="0" applyFont="1" applyFill="1" applyBorder="1" applyAlignment="1">
      <alignment horizontal="left" vertical="top" wrapText="1"/>
    </xf>
    <xf numFmtId="0" fontId="2" fillId="0" borderId="16" xfId="0" applyFont="1" applyBorder="1" applyAlignment="1">
      <alignment horizontal="left" vertical="top" wrapText="1"/>
    </xf>
    <xf numFmtId="0" fontId="38" fillId="0" borderId="74" xfId="0" applyFont="1" applyBorder="1" applyAlignment="1">
      <alignment horizontal="left" vertical="top"/>
    </xf>
    <xf numFmtId="0" fontId="38" fillId="0" borderId="74" xfId="0" applyFont="1" applyBorder="1" applyAlignment="1">
      <alignment horizontal="center" vertical="center"/>
    </xf>
    <xf numFmtId="0" fontId="0" fillId="65" borderId="4" xfId="0" applyFill="1" applyBorder="1" applyAlignment="1">
      <alignment horizontal="left" vertical="top"/>
    </xf>
    <xf numFmtId="0" fontId="0" fillId="0" borderId="4" xfId="0" applyBorder="1" applyAlignment="1">
      <alignment horizontal="left" vertical="top"/>
    </xf>
    <xf numFmtId="0" fontId="0" fillId="0" borderId="75" xfId="0" applyBorder="1" applyAlignment="1">
      <alignment horizontal="left" vertical="top"/>
    </xf>
    <xf numFmtId="0" fontId="0" fillId="0" borderId="74" xfId="0" applyBorder="1" applyAlignment="1">
      <alignment horizontal="left" vertical="top"/>
    </xf>
    <xf numFmtId="0" fontId="0" fillId="0" borderId="0" xfId="0" applyAlignment="1">
      <alignment horizontal="left" vertical="top"/>
    </xf>
    <xf numFmtId="0" fontId="101" fillId="0" borderId="0" xfId="0" applyFont="1" applyAlignment="1">
      <alignment horizontal="left" wrapText="1"/>
    </xf>
    <xf numFmtId="0" fontId="101" fillId="0" borderId="0" xfId="0" applyFont="1" applyAlignment="1">
      <alignment horizontal="left" vertical="center"/>
    </xf>
    <xf numFmtId="0" fontId="101" fillId="0" borderId="0" xfId="0" applyFont="1" applyAlignment="1">
      <alignment vertical="center"/>
    </xf>
    <xf numFmtId="0" fontId="97" fillId="0" borderId="0" xfId="0" applyFont="1" applyAlignment="1">
      <alignment horizontal="left" vertical="center"/>
    </xf>
    <xf numFmtId="0" fontId="97" fillId="0" borderId="0" xfId="0" applyFont="1" applyAlignment="1">
      <alignment horizontal="center" vertical="center"/>
    </xf>
    <xf numFmtId="0" fontId="69" fillId="0" borderId="79" xfId="0" applyFont="1" applyBorder="1" applyAlignment="1">
      <alignment horizontal="left" vertical="top"/>
    </xf>
    <xf numFmtId="0" fontId="69" fillId="0" borderId="80" xfId="0" applyFont="1" applyBorder="1" applyAlignment="1">
      <alignment horizontal="left" vertical="top" wrapText="1"/>
    </xf>
    <xf numFmtId="0" fontId="69" fillId="0" borderId="81" xfId="0" applyFont="1" applyBorder="1" applyAlignment="1">
      <alignment horizontal="center" vertical="top" wrapText="1"/>
    </xf>
    <xf numFmtId="0" fontId="0" fillId="0" borderId="20" xfId="0" applyBorder="1" applyAlignment="1">
      <alignment vertical="center"/>
    </xf>
    <xf numFmtId="0" fontId="0" fillId="0" borderId="0" xfId="0" applyAlignment="1">
      <alignment vertical="center"/>
    </xf>
    <xf numFmtId="0" fontId="0" fillId="0" borderId="0" xfId="0" applyAlignment="1">
      <alignment horizontal="left" vertical="center"/>
    </xf>
    <xf numFmtId="0" fontId="63" fillId="72" borderId="0" xfId="0" applyFont="1" applyFill="1" applyAlignment="1">
      <alignment horizontal="left" vertical="center"/>
    </xf>
    <xf numFmtId="0" fontId="0" fillId="0" borderId="0" xfId="0" applyAlignment="1">
      <alignment horizontal="left" vertical="center" wrapText="1"/>
    </xf>
    <xf numFmtId="0" fontId="0" fillId="0" borderId="0" xfId="1" applyNumberFormat="1" applyFont="1" applyAlignment="1">
      <alignment horizontal="left"/>
    </xf>
    <xf numFmtId="0" fontId="63" fillId="72" borderId="0" xfId="0" applyFont="1" applyFill="1" applyAlignment="1">
      <alignment horizontal="left" vertical="center" wrapText="1"/>
    </xf>
    <xf numFmtId="0" fontId="11" fillId="72" borderId="0" xfId="0" applyFont="1" applyFill="1"/>
    <xf numFmtId="0" fontId="0" fillId="0" borderId="0" xfId="0" applyAlignment="1">
      <alignment horizontal="left"/>
    </xf>
    <xf numFmtId="0" fontId="0" fillId="0" borderId="0" xfId="0" applyAlignment="1">
      <alignment vertical="top" wrapText="1"/>
    </xf>
    <xf numFmtId="0" fontId="1" fillId="0" borderId="0" xfId="0" applyFont="1" applyAlignment="1">
      <alignment horizontal="left" vertical="top"/>
    </xf>
    <xf numFmtId="0" fontId="98" fillId="0" borderId="0" xfId="0" applyFont="1" applyAlignment="1">
      <alignment horizontal="left" vertical="center"/>
    </xf>
    <xf numFmtId="0" fontId="1" fillId="0" borderId="0" xfId="0" applyFont="1" applyAlignment="1">
      <alignment horizontal="left" vertical="top" wrapText="1"/>
    </xf>
    <xf numFmtId="0" fontId="98" fillId="0" borderId="0" xfId="2" applyNumberFormat="1" applyFont="1" applyFill="1" applyBorder="1" applyAlignment="1">
      <alignment horizontal="left" vertical="center"/>
    </xf>
    <xf numFmtId="0" fontId="85" fillId="0" borderId="20" xfId="0" applyFont="1" applyBorder="1" applyAlignment="1">
      <alignment vertical="center"/>
    </xf>
    <xf numFmtId="0" fontId="85" fillId="0" borderId="0" xfId="0" applyFont="1" applyAlignment="1">
      <alignment horizontal="left" vertical="top"/>
    </xf>
    <xf numFmtId="0" fontId="85" fillId="0" borderId="0" xfId="0" applyFont="1" applyAlignment="1">
      <alignment horizontal="left" vertical="center"/>
    </xf>
    <xf numFmtId="49" fontId="63" fillId="72" borderId="0" xfId="0" applyNumberFormat="1" applyFont="1" applyFill="1" applyAlignment="1">
      <alignment horizontal="left" vertical="center"/>
    </xf>
    <xf numFmtId="0" fontId="85" fillId="0" borderId="0" xfId="0" applyFont="1"/>
    <xf numFmtId="0" fontId="98" fillId="0" borderId="0" xfId="0" applyFont="1" applyAlignment="1">
      <alignment horizontal="left" vertical="center" wrapText="1"/>
    </xf>
    <xf numFmtId="0" fontId="98" fillId="0" borderId="0" xfId="2" applyNumberFormat="1" applyFont="1" applyFill="1" applyBorder="1" applyAlignment="1">
      <alignment horizontal="left" vertical="center" wrapText="1"/>
    </xf>
    <xf numFmtId="0" fontId="66" fillId="0" borderId="0" xfId="2" applyNumberFormat="1" applyBorder="1" applyAlignment="1">
      <alignment horizontal="left" vertical="top"/>
    </xf>
    <xf numFmtId="1" fontId="0" fillId="0" borderId="23" xfId="0" applyNumberFormat="1" applyBorder="1" applyAlignment="1">
      <alignment horizontal="left" vertical="top" wrapText="1"/>
    </xf>
    <xf numFmtId="0" fontId="1" fillId="0" borderId="0" xfId="0" applyFont="1"/>
    <xf numFmtId="0" fontId="1" fillId="0" borderId="0" xfId="0" applyFont="1" applyAlignment="1">
      <alignment horizontal="center"/>
    </xf>
    <xf numFmtId="0" fontId="1" fillId="0" borderId="0" xfId="0" applyFont="1" applyAlignment="1">
      <alignment horizontal="left"/>
    </xf>
    <xf numFmtId="2" fontId="1" fillId="0" borderId="52" xfId="0" applyNumberFormat="1" applyFont="1" applyBorder="1" applyAlignment="1">
      <alignment horizontal="center" vertical="top" wrapText="1"/>
    </xf>
    <xf numFmtId="2" fontId="72" fillId="0" borderId="64" xfId="0" applyNumberFormat="1" applyFont="1" applyBorder="1" applyAlignment="1">
      <alignment horizontal="center" vertical="center" wrapText="1"/>
    </xf>
    <xf numFmtId="2" fontId="1" fillId="0" borderId="0" xfId="0" applyNumberFormat="1" applyFont="1" applyAlignment="1">
      <alignment horizontal="center" vertical="top" wrapText="1"/>
    </xf>
    <xf numFmtId="2" fontId="1" fillId="0" borderId="0" xfId="0" applyNumberFormat="1" applyFont="1" applyAlignment="1">
      <alignment horizontal="left" vertical="center" wrapText="1"/>
    </xf>
    <xf numFmtId="0" fontId="76" fillId="0" borderId="31" xfId="0" applyFont="1" applyBorder="1" applyAlignment="1">
      <alignment horizontal="left" vertical="center" wrapText="1"/>
    </xf>
    <xf numFmtId="0" fontId="72" fillId="0" borderId="31" xfId="0" applyFont="1" applyBorder="1" applyAlignment="1">
      <alignment horizontal="left" vertical="top" wrapText="1"/>
    </xf>
    <xf numFmtId="0" fontId="12" fillId="0" borderId="31" xfId="0" applyFont="1" applyBorder="1" applyAlignment="1">
      <alignment horizontal="center" vertical="center"/>
    </xf>
    <xf numFmtId="0" fontId="12" fillId="0" borderId="31" xfId="0" applyFont="1" applyBorder="1"/>
    <xf numFmtId="0" fontId="12" fillId="0" borderId="31" xfId="0" applyFont="1" applyBorder="1" applyAlignment="1">
      <alignment horizontal="left"/>
    </xf>
    <xf numFmtId="0" fontId="77" fillId="0" borderId="0" xfId="0" applyFont="1" applyAlignment="1">
      <alignment horizontal="center" vertical="center"/>
    </xf>
    <xf numFmtId="0" fontId="77" fillId="0" borderId="0" xfId="0" applyFont="1"/>
    <xf numFmtId="0" fontId="77" fillId="56" borderId="0" xfId="0" applyFont="1" applyFill="1" applyAlignment="1">
      <alignment horizontal="center"/>
    </xf>
    <xf numFmtId="0" fontId="104" fillId="0" borderId="0" xfId="0" applyFont="1" applyAlignment="1">
      <alignment horizontal="left" vertical="top"/>
    </xf>
    <xf numFmtId="0" fontId="77" fillId="0" borderId="0" xfId="0" applyFont="1" applyAlignment="1">
      <alignment horizontal="left" vertical="top" wrapText="1"/>
    </xf>
    <xf numFmtId="0" fontId="77" fillId="56" borderId="0" xfId="0" applyFont="1" applyFill="1"/>
    <xf numFmtId="0" fontId="77" fillId="0" borderId="0" xfId="0" applyFont="1" applyAlignment="1">
      <alignment horizontal="center"/>
    </xf>
    <xf numFmtId="0" fontId="77" fillId="0" borderId="0" xfId="0" applyFont="1" applyAlignment="1">
      <alignment horizontal="left"/>
    </xf>
    <xf numFmtId="0" fontId="105" fillId="0" borderId="0" xfId="0" applyFont="1" applyAlignment="1">
      <alignment horizontal="left" vertical="top"/>
    </xf>
    <xf numFmtId="0" fontId="77" fillId="0" borderId="0" xfId="0" applyFont="1" applyAlignment="1">
      <alignment horizontal="center" vertical="top"/>
    </xf>
    <xf numFmtId="0" fontId="77" fillId="56" borderId="0" xfId="0" applyFont="1" applyFill="1" applyAlignment="1">
      <alignment horizontal="center" vertical="top"/>
    </xf>
    <xf numFmtId="0" fontId="93" fillId="0" borderId="0" xfId="0" applyFont="1" applyAlignment="1">
      <alignment horizontal="center" vertical="top"/>
    </xf>
    <xf numFmtId="0" fontId="96" fillId="0" borderId="0" xfId="0" applyFont="1" applyAlignment="1">
      <alignment horizontal="center" vertical="top"/>
    </xf>
    <xf numFmtId="0" fontId="77" fillId="56" borderId="0" xfId="0" applyFont="1" applyFill="1" applyAlignment="1">
      <alignment vertical="top"/>
    </xf>
    <xf numFmtId="0" fontId="14" fillId="0" borderId="0" xfId="0" applyFont="1" applyAlignment="1">
      <alignment vertical="top"/>
    </xf>
    <xf numFmtId="0" fontId="10" fillId="0" borderId="0" xfId="0" applyFont="1" applyAlignment="1">
      <alignment horizontal="left" vertical="top"/>
    </xf>
    <xf numFmtId="0" fontId="69" fillId="0" borderId="16" xfId="0" applyFont="1" applyBorder="1" applyAlignment="1">
      <alignment horizontal="left" vertical="top"/>
    </xf>
    <xf numFmtId="0" fontId="0" fillId="0" borderId="23" xfId="1" applyNumberFormat="1" applyFont="1" applyFill="1" applyBorder="1" applyAlignment="1">
      <alignment horizontal="left" vertical="top" wrapText="1"/>
    </xf>
    <xf numFmtId="0" fontId="0" fillId="0" borderId="28" xfId="0" applyBorder="1" applyAlignment="1">
      <alignment horizontal="left" vertical="top" wrapText="1"/>
    </xf>
    <xf numFmtId="0" fontId="0" fillId="0" borderId="23" xfId="0" applyBorder="1" applyAlignment="1">
      <alignment horizontal="left" vertical="top"/>
    </xf>
    <xf numFmtId="0" fontId="86" fillId="0" borderId="1" xfId="0" applyFont="1" applyBorder="1" applyAlignment="1">
      <alignment horizontal="left" vertical="top"/>
    </xf>
    <xf numFmtId="0" fontId="86" fillId="0" borderId="2" xfId="0" applyFont="1" applyBorder="1" applyAlignment="1">
      <alignment horizontal="left" vertical="top" wrapText="1"/>
    </xf>
    <xf numFmtId="0" fontId="86" fillId="0" borderId="3" xfId="0" applyFont="1" applyBorder="1" applyAlignment="1">
      <alignment horizontal="left" vertical="top" wrapText="1"/>
    </xf>
    <xf numFmtId="0" fontId="0" fillId="0" borderId="2" xfId="0" applyBorder="1" applyAlignment="1">
      <alignment horizontal="left" vertical="top"/>
    </xf>
    <xf numFmtId="0" fontId="72" fillId="0" borderId="2" xfId="0" applyFont="1" applyBorder="1" applyAlignment="1">
      <alignment horizontal="left" vertical="top"/>
    </xf>
    <xf numFmtId="0" fontId="86" fillId="0" borderId="0" xfId="0" applyFont="1" applyAlignment="1">
      <alignment horizontal="left" vertical="top"/>
    </xf>
    <xf numFmtId="0" fontId="0" fillId="0" borderId="0" xfId="0" applyAlignment="1">
      <alignment horizontal="left" vertical="top" wrapText="1"/>
    </xf>
    <xf numFmtId="0" fontId="72" fillId="0" borderId="23" xfId="0" applyFont="1" applyBorder="1" applyAlignment="1">
      <alignment horizontal="left" vertical="top"/>
    </xf>
    <xf numFmtId="0" fontId="0" fillId="0" borderId="1" xfId="0" applyBorder="1"/>
    <xf numFmtId="0" fontId="17" fillId="0" borderId="25" xfId="0" applyFont="1" applyBorder="1"/>
    <xf numFmtId="14" fontId="17" fillId="0" borderId="26" xfId="0" applyNumberFormat="1" applyFont="1" applyBorder="1" applyAlignment="1">
      <alignment horizontal="center"/>
    </xf>
    <xf numFmtId="0" fontId="0" fillId="0" borderId="23" xfId="0" applyBorder="1"/>
    <xf numFmtId="0" fontId="13" fillId="0" borderId="23" xfId="0" applyFont="1" applyBorder="1"/>
    <xf numFmtId="0" fontId="15" fillId="0" borderId="23" xfId="0" applyFont="1" applyBorder="1"/>
    <xf numFmtId="14" fontId="17" fillId="0" borderId="23" xfId="0" applyNumberFormat="1" applyFont="1" applyBorder="1" applyAlignment="1">
      <alignment horizontal="center"/>
    </xf>
    <xf numFmtId="164" fontId="17" fillId="0" borderId="23" xfId="0" applyNumberFormat="1" applyFont="1" applyBorder="1" applyAlignment="1">
      <alignment horizontal="center"/>
    </xf>
    <xf numFmtId="0" fontId="13" fillId="0" borderId="25" xfId="0" applyFont="1" applyBorder="1"/>
    <xf numFmtId="0" fontId="8" fillId="0" borderId="23" xfId="0" applyFont="1" applyBorder="1"/>
    <xf numFmtId="0" fontId="6" fillId="0" borderId="23" xfId="0" applyFont="1" applyBorder="1"/>
    <xf numFmtId="14" fontId="6" fillId="0" borderId="23" xfId="0" applyNumberFormat="1" applyFont="1" applyBorder="1" applyAlignment="1">
      <alignment horizontal="center"/>
    </xf>
    <xf numFmtId="0" fontId="6" fillId="0" borderId="25" xfId="0" applyFont="1" applyBorder="1"/>
    <xf numFmtId="0" fontId="0" fillId="0" borderId="2" xfId="0" applyBorder="1"/>
    <xf numFmtId="0" fontId="0" fillId="65" borderId="23" xfId="0" applyFill="1" applyBorder="1"/>
    <xf numFmtId="0" fontId="17" fillId="0" borderId="65" xfId="0" applyFont="1" applyBorder="1"/>
    <xf numFmtId="0" fontId="64" fillId="34" borderId="2" xfId="0" applyFont="1" applyFill="1" applyBorder="1"/>
    <xf numFmtId="0" fontId="0" fillId="0" borderId="2" xfId="0" applyBorder="1" applyAlignment="1">
      <alignment horizontal="left"/>
    </xf>
    <xf numFmtId="0" fontId="0" fillId="0" borderId="3" xfId="0" applyBorder="1"/>
    <xf numFmtId="0" fontId="0" fillId="0" borderId="82" xfId="0" applyBorder="1" applyAlignment="1">
      <alignment horizontal="left" vertical="top"/>
    </xf>
    <xf numFmtId="0" fontId="0" fillId="0" borderId="27" xfId="0" applyBorder="1" applyAlignment="1">
      <alignment horizontal="left" vertical="top" wrapText="1"/>
    </xf>
    <xf numFmtId="14" fontId="0" fillId="0" borderId="28" xfId="0" applyNumberFormat="1" applyBorder="1" applyAlignment="1">
      <alignment horizontal="left" vertical="top" wrapText="1"/>
    </xf>
    <xf numFmtId="0" fontId="0" fillId="0" borderId="28" xfId="0" quotePrefix="1" applyBorder="1" applyAlignment="1">
      <alignment horizontal="left" vertical="top" wrapText="1"/>
    </xf>
    <xf numFmtId="1" fontId="0" fillId="0" borderId="28" xfId="0" quotePrefix="1" applyNumberFormat="1" applyBorder="1" applyAlignment="1">
      <alignment horizontal="left" vertical="top" wrapText="1"/>
    </xf>
    <xf numFmtId="44" fontId="0" fillId="0" borderId="28" xfId="1" quotePrefix="1" applyFont="1" applyFill="1" applyBorder="1" applyAlignment="1">
      <alignment horizontal="left" vertical="top" wrapText="1"/>
    </xf>
    <xf numFmtId="0" fontId="0" fillId="0" borderId="28" xfId="1" quotePrefix="1" applyNumberFormat="1" applyFont="1" applyFill="1" applyBorder="1" applyAlignment="1">
      <alignment horizontal="left" vertical="top" wrapText="1"/>
    </xf>
    <xf numFmtId="0" fontId="0" fillId="0" borderId="28" xfId="0" applyBorder="1" applyAlignment="1">
      <alignment horizontal="left" vertical="top"/>
    </xf>
    <xf numFmtId="14" fontId="0" fillId="0" borderId="28" xfId="0" applyNumberFormat="1" applyBorder="1" applyAlignment="1">
      <alignment horizontal="left" vertical="top"/>
    </xf>
    <xf numFmtId="14" fontId="0" fillId="0" borderId="28" xfId="1" applyNumberFormat="1" applyFont="1" applyFill="1" applyBorder="1" applyAlignment="1">
      <alignment horizontal="left" vertical="top"/>
    </xf>
    <xf numFmtId="0" fontId="0" fillId="0" borderId="29" xfId="0" applyBorder="1" applyAlignment="1">
      <alignment horizontal="left" vertical="top"/>
    </xf>
    <xf numFmtId="0" fontId="0" fillId="0" borderId="27" xfId="0" applyBorder="1" applyAlignment="1">
      <alignment horizontal="left" vertical="top"/>
    </xf>
    <xf numFmtId="0" fontId="0" fillId="0" borderId="52" xfId="0" applyBorder="1" applyAlignment="1">
      <alignment horizontal="left" vertical="top" wrapText="1"/>
    </xf>
    <xf numFmtId="0" fontId="72" fillId="0" borderId="0" xfId="0" applyFont="1" applyAlignment="1">
      <alignment horizontal="left" vertical="top" wrapText="1"/>
    </xf>
    <xf numFmtId="0" fontId="0" fillId="0" borderId="1" xfId="0" applyBorder="1" applyAlignment="1">
      <alignment horizontal="left" vertical="top"/>
    </xf>
    <xf numFmtId="2" fontId="0" fillId="0" borderId="0" xfId="0" applyNumberFormat="1" applyAlignment="1">
      <alignment horizontal="left"/>
    </xf>
    <xf numFmtId="0" fontId="0" fillId="65" borderId="23" xfId="0" applyFill="1" applyBorder="1" applyAlignment="1">
      <alignment horizontal="left" vertical="top"/>
    </xf>
    <xf numFmtId="166" fontId="0" fillId="0" borderId="23" xfId="0" applyNumberFormat="1" applyBorder="1" applyAlignment="1">
      <alignment horizontal="left" vertical="top" wrapText="1"/>
    </xf>
    <xf numFmtId="0" fontId="0" fillId="0" borderId="1" xfId="0" applyBorder="1" applyAlignment="1">
      <alignment horizontal="left"/>
    </xf>
    <xf numFmtId="0" fontId="0" fillId="0" borderId="23" xfId="0" applyBorder="1" applyAlignment="1">
      <alignment horizontal="left"/>
    </xf>
    <xf numFmtId="0" fontId="0" fillId="0" borderId="28" xfId="0" applyBorder="1" applyAlignment="1">
      <alignment horizontal="left"/>
    </xf>
    <xf numFmtId="0" fontId="0" fillId="0" borderId="24" xfId="0" applyBorder="1" applyAlignment="1">
      <alignment horizontal="left"/>
    </xf>
    <xf numFmtId="0" fontId="0" fillId="0" borderId="27" xfId="0" applyBorder="1" applyAlignment="1">
      <alignment horizontal="left"/>
    </xf>
    <xf numFmtId="166" fontId="0" fillId="0" borderId="23" xfId="0" applyNumberFormat="1" applyBorder="1" applyAlignment="1">
      <alignment horizontal="left"/>
    </xf>
    <xf numFmtId="1" fontId="0" fillId="0" borderId="23" xfId="0" applyNumberFormat="1" applyBorder="1" applyAlignment="1">
      <alignment horizontal="left"/>
    </xf>
    <xf numFmtId="3" fontId="0" fillId="0" borderId="23" xfId="0" applyNumberFormat="1" applyBorder="1" applyAlignment="1">
      <alignment horizontal="left"/>
    </xf>
    <xf numFmtId="0" fontId="63" fillId="0" borderId="0" xfId="0" applyFont="1" applyAlignment="1">
      <alignment horizontal="left" vertical="top" wrapText="1"/>
    </xf>
    <xf numFmtId="0" fontId="3" fillId="0" borderId="0" xfId="0" applyFont="1" applyAlignment="1">
      <alignment vertical="top" wrapText="1"/>
    </xf>
    <xf numFmtId="0" fontId="16" fillId="0" borderId="0" xfId="0" applyFont="1" applyAlignment="1">
      <alignment vertical="top" wrapText="1"/>
    </xf>
    <xf numFmtId="14" fontId="63" fillId="0" borderId="0" xfId="0" applyNumberFormat="1" applyFont="1" applyAlignment="1">
      <alignment vertical="top" wrapText="1"/>
    </xf>
    <xf numFmtId="0" fontId="0" fillId="0" borderId="23" xfId="0" applyBorder="1" applyAlignment="1">
      <alignment vertical="top"/>
    </xf>
    <xf numFmtId="3" fontId="0" fillId="0" borderId="23" xfId="0" applyNumberFormat="1" applyBorder="1" applyAlignment="1">
      <alignment horizontal="left" vertical="top" wrapText="1"/>
    </xf>
    <xf numFmtId="166" fontId="0" fillId="0" borderId="23" xfId="1" applyNumberFormat="1" applyFont="1" applyFill="1" applyBorder="1" applyAlignment="1" applyProtection="1">
      <alignment horizontal="left" vertical="top" wrapText="1"/>
    </xf>
    <xf numFmtId="0" fontId="91" fillId="0" borderId="0" xfId="0" applyFont="1" applyAlignment="1">
      <alignment horizontal="left"/>
    </xf>
    <xf numFmtId="2" fontId="17" fillId="0" borderId="0" xfId="0" applyNumberFormat="1" applyFont="1" applyAlignment="1">
      <alignment horizontal="center"/>
    </xf>
    <xf numFmtId="0" fontId="38" fillId="0" borderId="83" xfId="0" applyFont="1" applyBorder="1" applyAlignment="1">
      <alignment horizontal="left" vertical="top" wrapText="1"/>
    </xf>
    <xf numFmtId="0" fontId="38" fillId="0" borderId="83" xfId="0" applyFont="1" applyBorder="1" applyAlignment="1">
      <alignment horizontal="center" vertical="top" wrapText="1"/>
    </xf>
    <xf numFmtId="2" fontId="38" fillId="0" borderId="83" xfId="0" applyNumberFormat="1" applyFont="1" applyBorder="1" applyAlignment="1">
      <alignment horizontal="center" vertical="top" wrapText="1"/>
    </xf>
    <xf numFmtId="1" fontId="38" fillId="0" borderId="83" xfId="0" applyNumberFormat="1" applyFont="1" applyBorder="1" applyAlignment="1">
      <alignment horizontal="center" vertical="top" wrapText="1"/>
    </xf>
    <xf numFmtId="49" fontId="38" fillId="0" borderId="83" xfId="0" applyNumberFormat="1" applyFont="1" applyBorder="1" applyAlignment="1">
      <alignment horizontal="center" vertical="top" wrapText="1"/>
    </xf>
    <xf numFmtId="2" fontId="38" fillId="0" borderId="83" xfId="0" applyNumberFormat="1" applyFont="1" applyBorder="1" applyAlignment="1">
      <alignment horizontal="left" vertical="top" wrapText="1"/>
    </xf>
    <xf numFmtId="0" fontId="38" fillId="0" borderId="84" xfId="0" applyFont="1" applyBorder="1" applyAlignment="1">
      <alignment horizontal="left" vertical="top" wrapText="1"/>
    </xf>
    <xf numFmtId="0" fontId="38" fillId="0" borderId="84" xfId="0" applyFont="1" applyBorder="1" applyAlignment="1">
      <alignment horizontal="center" vertical="top" wrapText="1"/>
    </xf>
    <xf numFmtId="2" fontId="38" fillId="0" borderId="84" xfId="0" applyNumberFormat="1" applyFont="1" applyBorder="1" applyAlignment="1">
      <alignment horizontal="center" vertical="top" wrapText="1"/>
    </xf>
    <xf numFmtId="1" fontId="38" fillId="0" borderId="84" xfId="0" applyNumberFormat="1" applyFont="1" applyBorder="1" applyAlignment="1">
      <alignment horizontal="center" vertical="top" wrapText="1"/>
    </xf>
    <xf numFmtId="49" fontId="38" fillId="0" borderId="84" xfId="0" applyNumberFormat="1" applyFont="1" applyBorder="1" applyAlignment="1">
      <alignment horizontal="center" vertical="top" wrapText="1"/>
    </xf>
    <xf numFmtId="2" fontId="38" fillId="0" borderId="84" xfId="0" applyNumberFormat="1" applyFont="1" applyBorder="1" applyAlignment="1">
      <alignment horizontal="left" vertical="top" wrapText="1"/>
    </xf>
    <xf numFmtId="0" fontId="9" fillId="0" borderId="2" xfId="0" applyFont="1" applyBorder="1" applyAlignment="1">
      <alignment vertical="top" wrapText="1"/>
    </xf>
    <xf numFmtId="0" fontId="9" fillId="0" borderId="3" xfId="0" applyFont="1" applyBorder="1" applyAlignment="1">
      <alignment vertical="top" wrapText="1"/>
    </xf>
    <xf numFmtId="0" fontId="9" fillId="0" borderId="24" xfId="0" applyFont="1" applyBorder="1" applyAlignment="1">
      <alignment horizontal="left" vertical="top" wrapText="1"/>
    </xf>
    <xf numFmtId="0" fontId="9" fillId="0" borderId="23" xfId="0" applyFont="1" applyBorder="1" applyAlignment="1">
      <alignment vertical="top" wrapText="1"/>
    </xf>
    <xf numFmtId="0" fontId="9" fillId="0" borderId="25" xfId="0" applyFont="1" applyBorder="1" applyAlignment="1">
      <alignment vertical="top" wrapText="1"/>
    </xf>
    <xf numFmtId="0" fontId="9" fillId="0" borderId="27" xfId="0" applyFont="1" applyBorder="1" applyAlignment="1">
      <alignment horizontal="left" vertical="top" wrapText="1"/>
    </xf>
    <xf numFmtId="0" fontId="9" fillId="0" borderId="28" xfId="0" applyFont="1" applyBorder="1" applyAlignment="1">
      <alignment vertical="top" wrapText="1"/>
    </xf>
    <xf numFmtId="0" fontId="9" fillId="0" borderId="29" xfId="0" applyFont="1" applyBorder="1" applyAlignment="1">
      <alignment vertical="top" wrapText="1"/>
    </xf>
    <xf numFmtId="0" fontId="63" fillId="0" borderId="1" xfId="0" applyFont="1" applyBorder="1" applyAlignment="1">
      <alignment horizontal="left" vertical="top" wrapText="1"/>
    </xf>
    <xf numFmtId="0" fontId="63" fillId="0" borderId="3" xfId="0" applyFont="1" applyBorder="1" applyAlignment="1">
      <alignment vertical="top" wrapText="1"/>
    </xf>
    <xf numFmtId="0" fontId="63" fillId="0" borderId="24" xfId="0" applyFont="1" applyBorder="1" applyAlignment="1">
      <alignment horizontal="left" vertical="top" wrapText="1"/>
    </xf>
    <xf numFmtId="0" fontId="63" fillId="0" borderId="25" xfId="0" applyFont="1" applyBorder="1" applyAlignment="1">
      <alignment vertical="top" wrapText="1"/>
    </xf>
    <xf numFmtId="0" fontId="0" fillId="0" borderId="29" xfId="0" applyBorder="1" applyAlignment="1">
      <alignment vertical="top" wrapText="1"/>
    </xf>
    <xf numFmtId="0" fontId="16" fillId="0" borderId="2" xfId="0" applyFont="1" applyBorder="1" applyAlignment="1">
      <alignment vertical="center" wrapText="1"/>
    </xf>
    <xf numFmtId="0" fontId="0" fillId="0" borderId="2" xfId="0" applyBorder="1" applyAlignment="1">
      <alignment vertical="top" wrapText="1"/>
    </xf>
    <xf numFmtId="0" fontId="0" fillId="0" borderId="3" xfId="0" applyBorder="1" applyAlignment="1">
      <alignment horizontal="left" vertical="top"/>
    </xf>
    <xf numFmtId="0" fontId="16" fillId="0" borderId="24" xfId="0" applyFont="1" applyBorder="1" applyAlignment="1">
      <alignment horizontal="left" vertical="center" wrapText="1"/>
    </xf>
    <xf numFmtId="0" fontId="38" fillId="0" borderId="23" xfId="0" applyFont="1" applyBorder="1" applyAlignment="1">
      <alignment vertical="center" wrapText="1"/>
    </xf>
    <xf numFmtId="0" fontId="0" fillId="0" borderId="23" xfId="0" applyBorder="1" applyAlignment="1">
      <alignment vertical="top" wrapText="1"/>
    </xf>
    <xf numFmtId="0" fontId="0" fillId="0" borderId="25" xfId="0" applyBorder="1" applyAlignment="1">
      <alignment vertical="top" wrapText="1"/>
    </xf>
    <xf numFmtId="0" fontId="0" fillId="0" borderId="24" xfId="0" applyBorder="1" applyAlignment="1">
      <alignment horizontal="left" vertical="center" wrapText="1"/>
    </xf>
    <xf numFmtId="0" fontId="0" fillId="0" borderId="23" xfId="0" applyBorder="1" applyAlignment="1">
      <alignment vertical="center" wrapText="1"/>
    </xf>
    <xf numFmtId="0" fontId="9" fillId="0" borderId="24" xfId="0" applyFont="1" applyBorder="1" applyAlignment="1">
      <alignment horizontal="left" vertical="center" wrapText="1"/>
    </xf>
    <xf numFmtId="0" fontId="16" fillId="0" borderId="27" xfId="0" applyFont="1" applyBorder="1" applyAlignment="1">
      <alignment horizontal="left" vertical="center" wrapText="1"/>
    </xf>
    <xf numFmtId="0" fontId="38" fillId="0" borderId="28" xfId="0" applyFont="1" applyBorder="1" applyAlignment="1">
      <alignment vertical="center" wrapText="1"/>
    </xf>
    <xf numFmtId="0" fontId="0" fillId="0" borderId="28" xfId="0" applyBorder="1" applyAlignment="1">
      <alignment vertical="top" wrapText="1"/>
    </xf>
    <xf numFmtId="0" fontId="7" fillId="0" borderId="1" xfId="0" applyFont="1" applyBorder="1" applyAlignment="1">
      <alignment vertical="top" wrapText="1"/>
    </xf>
    <xf numFmtId="0" fontId="6" fillId="0" borderId="3" xfId="0" applyFont="1" applyBorder="1" applyAlignment="1">
      <alignment vertical="top" wrapText="1"/>
    </xf>
    <xf numFmtId="0" fontId="63" fillId="0" borderId="24" xfId="0" applyFont="1" applyBorder="1" applyAlignment="1">
      <alignment vertical="top" wrapText="1"/>
    </xf>
    <xf numFmtId="0" fontId="7" fillId="0" borderId="27" xfId="0" applyFont="1" applyBorder="1" applyAlignment="1">
      <alignment vertical="top" wrapText="1"/>
    </xf>
    <xf numFmtId="0" fontId="63" fillId="0" borderId="29" xfId="0" applyFont="1" applyBorder="1" applyAlignment="1">
      <alignment vertical="top" wrapText="1"/>
    </xf>
    <xf numFmtId="0" fontId="0" fillId="0" borderId="1" xfId="0" applyBorder="1" applyAlignment="1">
      <alignment horizontal="left" vertical="top" wrapText="1"/>
    </xf>
    <xf numFmtId="0" fontId="0" fillId="0" borderId="1" xfId="0" applyBorder="1" applyAlignment="1">
      <alignment horizontal="left" vertical="center" wrapText="1"/>
    </xf>
    <xf numFmtId="0" fontId="75" fillId="0" borderId="0" xfId="0" applyFont="1" applyAlignment="1">
      <alignment horizontal="center"/>
    </xf>
    <xf numFmtId="0" fontId="97" fillId="0" borderId="0" xfId="0" applyFont="1" applyAlignment="1">
      <alignment horizontal="left"/>
    </xf>
    <xf numFmtId="0" fontId="12" fillId="0" borderId="0" xfId="0" applyFont="1" applyAlignment="1">
      <alignment horizontal="left"/>
    </xf>
    <xf numFmtId="0" fontId="12" fillId="0" borderId="31" xfId="0" applyFont="1" applyBorder="1" applyAlignment="1">
      <alignment horizontal="left" vertical="center"/>
    </xf>
    <xf numFmtId="0" fontId="72" fillId="0" borderId="16" xfId="0" applyFont="1" applyBorder="1" applyAlignment="1">
      <alignment horizontal="center" vertical="top"/>
    </xf>
    <xf numFmtId="0" fontId="72" fillId="0" borderId="21" xfId="0" applyFont="1" applyBorder="1" applyAlignment="1">
      <alignment horizontal="left" vertical="top"/>
    </xf>
    <xf numFmtId="49" fontId="72" fillId="0" borderId="21" xfId="0" applyNumberFormat="1" applyFont="1" applyBorder="1" applyAlignment="1">
      <alignment horizontal="left" vertical="top"/>
    </xf>
    <xf numFmtId="0" fontId="72" fillId="0" borderId="34" xfId="0" applyFont="1" applyBorder="1" applyAlignment="1">
      <alignment horizontal="left" vertical="top"/>
    </xf>
    <xf numFmtId="0" fontId="64" fillId="0" borderId="35" xfId="0" applyFont="1" applyBorder="1" applyAlignment="1">
      <alignment horizontal="left" vertical="top" wrapText="1"/>
    </xf>
    <xf numFmtId="0" fontId="72" fillId="0" borderId="17" xfId="0" applyFont="1" applyBorder="1" applyAlignment="1">
      <alignment horizontal="center" vertical="top"/>
    </xf>
    <xf numFmtId="0" fontId="76" fillId="0" borderId="35" xfId="0" applyFont="1" applyBorder="1" applyAlignment="1">
      <alignment horizontal="left" vertical="top" wrapText="1"/>
    </xf>
    <xf numFmtId="0" fontId="72" fillId="0" borderId="22" xfId="0" applyFont="1" applyBorder="1" applyAlignment="1">
      <alignment horizontal="center" vertical="top"/>
    </xf>
    <xf numFmtId="0" fontId="76" fillId="0" borderId="34" xfId="0" applyFont="1" applyBorder="1" applyAlignment="1">
      <alignment horizontal="left" vertical="top" wrapText="1"/>
    </xf>
    <xf numFmtId="0" fontId="76" fillId="0" borderId="36" xfId="0" applyFont="1" applyBorder="1" applyAlignment="1">
      <alignment horizontal="left" vertical="top" wrapText="1"/>
    </xf>
    <xf numFmtId="0" fontId="72" fillId="0" borderId="21" xfId="0" applyFont="1" applyBorder="1" applyAlignment="1">
      <alignment horizontal="center" vertical="top"/>
    </xf>
    <xf numFmtId="0" fontId="72" fillId="0" borderId="22" xfId="0" applyFont="1" applyBorder="1" applyAlignment="1">
      <alignment horizontal="left" vertical="top"/>
    </xf>
    <xf numFmtId="49" fontId="72" fillId="0" borderId="22" xfId="0" applyNumberFormat="1" applyFont="1" applyBorder="1" applyAlignment="1">
      <alignment horizontal="left" vertical="top"/>
    </xf>
    <xf numFmtId="0" fontId="72" fillId="0" borderId="19" xfId="0" applyFont="1" applyBorder="1" applyAlignment="1">
      <alignment horizontal="left" vertical="top"/>
    </xf>
    <xf numFmtId="0" fontId="72" fillId="0" borderId="16" xfId="0" applyFont="1" applyBorder="1" applyAlignment="1">
      <alignment horizontal="left" vertical="top"/>
    </xf>
    <xf numFmtId="0" fontId="72" fillId="0" borderId="32" xfId="0" applyFont="1" applyBorder="1" applyAlignment="1">
      <alignment horizontal="left" vertical="top"/>
    </xf>
    <xf numFmtId="0" fontId="72" fillId="0" borderId="17" xfId="0" applyFont="1" applyBorder="1" applyAlignment="1">
      <alignment horizontal="left" vertical="top"/>
    </xf>
    <xf numFmtId="0" fontId="76" fillId="0" borderId="16" xfId="0" applyFont="1" applyBorder="1" applyAlignment="1">
      <alignment horizontal="center" vertical="top" wrapText="1"/>
    </xf>
    <xf numFmtId="0" fontId="72" fillId="0" borderId="16" xfId="0" applyFont="1" applyBorder="1" applyAlignment="1">
      <alignment vertical="top"/>
    </xf>
    <xf numFmtId="0" fontId="64" fillId="0" borderId="22" xfId="0" applyFont="1" applyBorder="1" applyAlignment="1">
      <alignment horizontal="left" vertical="top" wrapText="1"/>
    </xf>
    <xf numFmtId="0" fontId="76" fillId="0" borderId="22" xfId="0" applyFont="1" applyBorder="1" applyAlignment="1">
      <alignment horizontal="center" vertical="top" wrapText="1"/>
    </xf>
    <xf numFmtId="0" fontId="76" fillId="0" borderId="17" xfId="0" applyFont="1" applyBorder="1" applyAlignment="1">
      <alignment horizontal="center" vertical="top" wrapText="1"/>
    </xf>
    <xf numFmtId="0" fontId="72" fillId="0" borderId="17" xfId="0" applyFont="1" applyBorder="1" applyAlignment="1">
      <alignment vertical="top"/>
    </xf>
    <xf numFmtId="0" fontId="72" fillId="0" borderId="21" xfId="0" applyFont="1" applyBorder="1" applyAlignment="1">
      <alignment vertical="top"/>
    </xf>
    <xf numFmtId="0" fontId="64" fillId="0" borderId="17" xfId="0" applyFont="1" applyBorder="1" applyAlignment="1">
      <alignment horizontal="center" vertical="top" wrapText="1"/>
    </xf>
    <xf numFmtId="0" fontId="76" fillId="0" borderId="21" xfId="0" applyFont="1" applyBorder="1" applyAlignment="1">
      <alignment horizontal="left" vertical="top" wrapText="1"/>
    </xf>
    <xf numFmtId="0" fontId="76" fillId="0" borderId="21" xfId="0" applyFont="1" applyBorder="1" applyAlignment="1">
      <alignment horizontal="center" vertical="top" wrapText="1"/>
    </xf>
    <xf numFmtId="49" fontId="72" fillId="0" borderId="16" xfId="0" applyNumberFormat="1" applyFont="1" applyBorder="1" applyAlignment="1">
      <alignment horizontal="left" vertical="top"/>
    </xf>
    <xf numFmtId="2" fontId="1" fillId="0" borderId="52" xfId="0" applyNumberFormat="1" applyFont="1" applyBorder="1" applyAlignment="1">
      <alignment horizontal="left" vertical="top" wrapText="1"/>
    </xf>
    <xf numFmtId="0" fontId="12" fillId="0" borderId="0" xfId="0" applyFont="1" applyAlignment="1">
      <alignment vertical="top"/>
    </xf>
    <xf numFmtId="0" fontId="69" fillId="0" borderId="16" xfId="0" applyFont="1" applyBorder="1" applyAlignment="1">
      <alignment horizontal="center" vertical="top" wrapText="1"/>
    </xf>
    <xf numFmtId="0" fontId="70" fillId="0" borderId="0" xfId="0" applyFont="1" applyAlignment="1">
      <alignment horizontal="center"/>
    </xf>
    <xf numFmtId="0" fontId="72" fillId="0" borderId="85" xfId="0" applyFont="1" applyBorder="1" applyAlignment="1">
      <alignment horizontal="center" vertical="center" wrapText="1"/>
    </xf>
    <xf numFmtId="49" fontId="1" fillId="0" borderId="0" xfId="0" applyNumberFormat="1" applyFont="1" applyAlignment="1">
      <alignment horizontal="center" vertical="center" wrapText="1"/>
    </xf>
    <xf numFmtId="2" fontId="0" fillId="0" borderId="16" xfId="0" applyNumberFormat="1" applyBorder="1" applyAlignment="1">
      <alignment horizontal="center" vertical="top" wrapText="1"/>
    </xf>
    <xf numFmtId="49" fontId="1" fillId="0" borderId="52" xfId="0" applyNumberFormat="1" applyFont="1" applyBorder="1" applyAlignment="1">
      <alignment vertical="top" wrapText="1"/>
    </xf>
    <xf numFmtId="0" fontId="0" fillId="0" borderId="52" xfId="0" applyBorder="1" applyAlignment="1">
      <alignment vertical="top" wrapText="1"/>
    </xf>
    <xf numFmtId="0" fontId="1" fillId="0" borderId="52" xfId="0" applyFont="1" applyBorder="1" applyAlignment="1">
      <alignment vertical="top" wrapText="1"/>
    </xf>
    <xf numFmtId="0" fontId="1" fillId="0" borderId="0" xfId="0" applyFont="1" applyAlignment="1">
      <alignment vertical="top"/>
    </xf>
    <xf numFmtId="0" fontId="103" fillId="0" borderId="0" xfId="0" applyFont="1" applyAlignment="1">
      <alignment horizontal="left" vertical="top"/>
    </xf>
    <xf numFmtId="0" fontId="72" fillId="0" borderId="54" xfId="0" applyFont="1" applyBorder="1" applyAlignment="1">
      <alignment vertical="top" wrapText="1"/>
    </xf>
    <xf numFmtId="0" fontId="75" fillId="0" borderId="0" xfId="0" applyFont="1" applyAlignment="1">
      <alignment vertical="top"/>
    </xf>
    <xf numFmtId="0" fontId="87" fillId="0" borderId="52" xfId="0" applyFont="1" applyBorder="1" applyAlignment="1">
      <alignment vertical="top" wrapText="1"/>
    </xf>
    <xf numFmtId="49" fontId="1" fillId="0" borderId="0" xfId="0" applyNumberFormat="1" applyFont="1" applyAlignment="1">
      <alignment vertical="top" wrapText="1"/>
    </xf>
    <xf numFmtId="0" fontId="87" fillId="0" borderId="52" xfId="0" applyFont="1" applyBorder="1" applyAlignment="1">
      <alignment horizontal="right" vertical="center" wrapText="1"/>
    </xf>
    <xf numFmtId="0" fontId="72" fillId="0" borderId="0" xfId="0" applyFont="1" applyAlignment="1">
      <alignment horizontal="left" vertical="top"/>
    </xf>
    <xf numFmtId="14" fontId="0" fillId="0" borderId="0" xfId="0" applyNumberFormat="1" applyAlignment="1">
      <alignment horizontal="left" vertical="top"/>
    </xf>
    <xf numFmtId="0" fontId="38" fillId="0" borderId="0" xfId="0" applyFont="1"/>
    <xf numFmtId="0" fontId="38" fillId="0" borderId="52" xfId="0" applyFont="1" applyBorder="1" applyAlignment="1">
      <alignment vertical="center" wrapText="1"/>
    </xf>
    <xf numFmtId="0" fontId="38" fillId="0" borderId="52" xfId="0" applyFont="1" applyBorder="1" applyAlignment="1">
      <alignment horizontal="right" vertical="center" wrapText="1"/>
    </xf>
    <xf numFmtId="0" fontId="38" fillId="0" borderId="52" xfId="0" applyFont="1" applyBorder="1" applyAlignment="1">
      <alignment horizontal="left" vertical="center" wrapText="1"/>
    </xf>
    <xf numFmtId="0" fontId="86" fillId="0" borderId="0" xfId="0" applyFont="1" applyAlignment="1">
      <alignment vertical="center"/>
    </xf>
    <xf numFmtId="0" fontId="86" fillId="0" borderId="0" xfId="0" applyFont="1" applyAlignment="1">
      <alignment horizontal="left" vertical="center"/>
    </xf>
    <xf numFmtId="2" fontId="38" fillId="65" borderId="83" xfId="0" applyNumberFormat="1" applyFont="1" applyFill="1" applyBorder="1" applyAlignment="1">
      <alignment horizontal="center" vertical="top" wrapText="1"/>
    </xf>
    <xf numFmtId="0" fontId="11" fillId="0" borderId="64" xfId="0" applyFont="1" applyBorder="1" applyAlignment="1">
      <alignment horizontal="left" vertical="center" wrapText="1"/>
    </xf>
    <xf numFmtId="0" fontId="87" fillId="0" borderId="78" xfId="0" applyFont="1" applyBorder="1" applyAlignment="1">
      <alignment vertical="center" wrapText="1"/>
    </xf>
    <xf numFmtId="0" fontId="87" fillId="0" borderId="53" xfId="0" applyFont="1" applyBorder="1" applyAlignment="1">
      <alignment vertical="center" wrapText="1"/>
    </xf>
    <xf numFmtId="0" fontId="72" fillId="0" borderId="77" xfId="0" applyFont="1" applyBorder="1" applyAlignment="1">
      <alignment vertical="center"/>
    </xf>
    <xf numFmtId="0" fontId="11" fillId="0" borderId="51" xfId="0" applyFont="1" applyBorder="1" applyAlignment="1">
      <alignment horizontal="left" vertical="center" wrapText="1"/>
    </xf>
    <xf numFmtId="0" fontId="12" fillId="0" borderId="55" xfId="0" applyFont="1" applyBorder="1" applyAlignment="1">
      <alignment horizontal="left" vertical="top" wrapText="1"/>
    </xf>
    <xf numFmtId="0" fontId="12" fillId="0" borderId="76" xfId="0" applyFont="1" applyBorder="1"/>
    <xf numFmtId="0" fontId="12" fillId="0" borderId="0" xfId="0" applyFont="1" applyAlignment="1">
      <alignment horizontal="right"/>
    </xf>
    <xf numFmtId="0" fontId="87" fillId="0" borderId="53" xfId="0" applyFont="1" applyBorder="1" applyAlignment="1">
      <alignment horizontal="right" vertical="center" wrapText="1"/>
    </xf>
    <xf numFmtId="2" fontId="12" fillId="0" borderId="52" xfId="0" applyNumberFormat="1" applyFont="1" applyBorder="1" applyAlignment="1">
      <alignment horizontal="right" vertical="center" wrapText="1"/>
    </xf>
    <xf numFmtId="2" fontId="12" fillId="0" borderId="55" xfId="0" applyNumberFormat="1" applyFont="1" applyBorder="1" applyAlignment="1">
      <alignment horizontal="right" vertical="center" wrapText="1"/>
    </xf>
    <xf numFmtId="2" fontId="72" fillId="0" borderId="52" xfId="0" applyNumberFormat="1" applyFont="1" applyBorder="1" applyAlignment="1">
      <alignment horizontal="right" vertical="center" wrapText="1"/>
    </xf>
    <xf numFmtId="0" fontId="69" fillId="0" borderId="66" xfId="0" applyFont="1" applyBorder="1" applyAlignment="1">
      <alignment vertical="center"/>
    </xf>
    <xf numFmtId="0" fontId="72" fillId="0" borderId="0" xfId="0" applyFont="1" applyAlignment="1">
      <alignment vertical="center" wrapText="1"/>
    </xf>
    <xf numFmtId="0" fontId="72" fillId="0" borderId="0" xfId="0" applyFont="1" applyAlignment="1">
      <alignment horizontal="right" vertical="center" wrapText="1"/>
    </xf>
    <xf numFmtId="2" fontId="72" fillId="0" borderId="0" xfId="0" applyNumberFormat="1" applyFont="1" applyAlignment="1">
      <alignment horizontal="right" vertical="center" wrapText="1"/>
    </xf>
    <xf numFmtId="0" fontId="87" fillId="0" borderId="52" xfId="0" applyFont="1" applyBorder="1" applyAlignment="1">
      <alignment horizontal="left" vertical="top"/>
    </xf>
    <xf numFmtId="0" fontId="0" fillId="0" borderId="89" xfId="0" applyBorder="1"/>
    <xf numFmtId="0" fontId="69" fillId="0" borderId="19" xfId="0" applyFont="1" applyBorder="1" applyAlignment="1">
      <alignment horizontal="left" vertical="top"/>
    </xf>
    <xf numFmtId="0" fontId="17" fillId="0" borderId="35" xfId="0" applyFont="1" applyBorder="1" applyAlignment="1">
      <alignment vertical="top"/>
    </xf>
    <xf numFmtId="0" fontId="82" fillId="0" borderId="90" xfId="0" applyFont="1" applyBorder="1" applyAlignment="1">
      <alignment horizontal="left" vertical="top"/>
    </xf>
    <xf numFmtId="0" fontId="17" fillId="0" borderId="90" xfId="0" applyFont="1" applyBorder="1" applyAlignment="1">
      <alignment horizontal="left" vertical="top"/>
    </xf>
    <xf numFmtId="0" fontId="17" fillId="0" borderId="90" xfId="0" applyFont="1" applyBorder="1" applyAlignment="1">
      <alignment horizontal="center" vertical="top"/>
    </xf>
    <xf numFmtId="0" fontId="17" fillId="0" borderId="90" xfId="0" applyFont="1" applyBorder="1" applyAlignment="1">
      <alignment vertical="top"/>
    </xf>
    <xf numFmtId="0" fontId="17" fillId="0" borderId="90" xfId="0" applyFont="1" applyBorder="1"/>
    <xf numFmtId="0" fontId="11" fillId="0" borderId="47" xfId="0" applyFont="1" applyBorder="1" applyAlignment="1">
      <alignment horizontal="left" vertical="top"/>
    </xf>
    <xf numFmtId="0" fontId="11" fillId="65" borderId="0" xfId="0" applyFont="1" applyFill="1" applyAlignment="1">
      <alignment horizontal="left" vertical="top"/>
    </xf>
    <xf numFmtId="0" fontId="77" fillId="56" borderId="23" xfId="0" applyFont="1" applyFill="1" applyBorder="1" applyAlignment="1">
      <alignment horizontal="left"/>
    </xf>
    <xf numFmtId="0" fontId="69" fillId="0" borderId="0" xfId="0" applyFont="1" applyAlignment="1">
      <alignment horizontal="left" vertical="center" wrapText="1"/>
    </xf>
    <xf numFmtId="0" fontId="69" fillId="0" borderId="0" xfId="0" applyFont="1" applyAlignment="1">
      <alignment horizontal="center" vertical="center" wrapText="1"/>
    </xf>
    <xf numFmtId="0" fontId="17" fillId="0" borderId="0" xfId="0" applyFont="1" applyAlignment="1">
      <alignment horizontal="left" vertical="center" wrapText="1"/>
    </xf>
    <xf numFmtId="0" fontId="17" fillId="0" borderId="0" xfId="0" applyFont="1" applyAlignment="1">
      <alignment horizontal="left" wrapText="1"/>
    </xf>
    <xf numFmtId="0" fontId="69" fillId="0" borderId="36" xfId="0" applyFont="1" applyBorder="1"/>
    <xf numFmtId="0" fontId="69" fillId="0" borderId="21" xfId="0" applyFont="1" applyBorder="1"/>
    <xf numFmtId="0" fontId="69" fillId="0" borderId="21" xfId="0" applyFont="1" applyBorder="1" applyAlignment="1">
      <alignment horizontal="center"/>
    </xf>
    <xf numFmtId="0" fontId="69" fillId="0" borderId="21" xfId="0" applyFont="1" applyBorder="1" applyAlignment="1">
      <alignment horizontal="center" vertical="center"/>
    </xf>
    <xf numFmtId="0" fontId="69" fillId="0" borderId="34" xfId="0" applyFont="1" applyBorder="1"/>
    <xf numFmtId="0" fontId="11" fillId="0" borderId="18" xfId="0" applyFont="1" applyBorder="1"/>
    <xf numFmtId="0" fontId="11" fillId="0" borderId="16" xfId="0" applyFont="1" applyBorder="1"/>
    <xf numFmtId="0" fontId="11" fillId="0" borderId="19" xfId="0" applyFont="1" applyBorder="1"/>
    <xf numFmtId="0" fontId="11" fillId="0" borderId="37" xfId="0" applyFont="1" applyBorder="1"/>
    <xf numFmtId="0" fontId="11" fillId="0" borderId="17" xfId="0" applyFont="1" applyBorder="1"/>
    <xf numFmtId="44" fontId="11" fillId="0" borderId="17" xfId="1" applyFont="1" applyBorder="1" applyAlignment="1">
      <alignment horizontal="center" vertical="center"/>
    </xf>
    <xf numFmtId="0" fontId="11" fillId="0" borderId="32" xfId="0" applyFont="1" applyBorder="1"/>
    <xf numFmtId="0" fontId="64" fillId="34" borderId="0" xfId="0" applyFont="1" applyFill="1" applyAlignment="1">
      <alignment horizontal="left"/>
    </xf>
    <xf numFmtId="0" fontId="64" fillId="34" borderId="0" xfId="0" applyFont="1" applyFill="1"/>
    <xf numFmtId="2" fontId="0" fillId="0" borderId="23" xfId="0" applyNumberFormat="1" applyBorder="1" applyAlignment="1">
      <alignment horizontal="left"/>
    </xf>
    <xf numFmtId="0" fontId="0" fillId="0" borderId="28" xfId="0" applyBorder="1"/>
    <xf numFmtId="0" fontId="0" fillId="0" borderId="89" xfId="0" applyBorder="1" applyAlignment="1">
      <alignment horizontal="left" vertical="top"/>
    </xf>
    <xf numFmtId="0" fontId="72" fillId="0" borderId="52" xfId="0" applyFont="1" applyBorder="1" applyAlignment="1">
      <alignment horizontal="left" vertical="top"/>
    </xf>
    <xf numFmtId="0" fontId="38" fillId="0" borderId="18" xfId="0" applyFont="1" applyBorder="1" applyAlignment="1">
      <alignment vertical="top"/>
    </xf>
    <xf numFmtId="0" fontId="69" fillId="0" borderId="34" xfId="0" applyFont="1" applyBorder="1" applyAlignment="1">
      <alignment horizontal="left"/>
    </xf>
    <xf numFmtId="0" fontId="17" fillId="0" borderId="19" xfId="0" applyFont="1" applyBorder="1" applyAlignment="1">
      <alignment horizontal="left" vertical="top"/>
    </xf>
    <xf numFmtId="0" fontId="11" fillId="0" borderId="19" xfId="0" applyFont="1" applyBorder="1" applyAlignment="1">
      <alignment horizontal="left" vertical="top"/>
    </xf>
    <xf numFmtId="0" fontId="107" fillId="0" borderId="0" xfId="0" applyFont="1"/>
    <xf numFmtId="0" fontId="108" fillId="0" borderId="0" xfId="0" applyFont="1"/>
    <xf numFmtId="0" fontId="70" fillId="72" borderId="5" xfId="0" applyFont="1" applyFill="1" applyBorder="1" applyAlignment="1">
      <alignment horizontal="left" vertical="top" wrapText="1"/>
    </xf>
    <xf numFmtId="0" fontId="65" fillId="0" borderId="4" xfId="0" applyFont="1" applyBorder="1" applyAlignment="1">
      <alignment horizontal="left" vertical="top"/>
    </xf>
    <xf numFmtId="0" fontId="0" fillId="73" borderId="4" xfId="0" applyFill="1" applyBorder="1" applyAlignment="1">
      <alignment horizontal="center" vertical="center"/>
    </xf>
    <xf numFmtId="14" fontId="0" fillId="73" borderId="4" xfId="0" applyNumberFormat="1" applyFill="1" applyBorder="1" applyAlignment="1">
      <alignment horizontal="center" vertical="center"/>
    </xf>
    <xf numFmtId="0" fontId="0" fillId="52" borderId="4" xfId="0" applyFill="1" applyBorder="1" applyAlignment="1">
      <alignment horizontal="left" vertical="top" wrapText="1"/>
    </xf>
    <xf numFmtId="0" fontId="0" fillId="66" borderId="4" xfId="0" applyFill="1" applyBorder="1" applyAlignment="1">
      <alignment horizontal="center" vertical="center"/>
    </xf>
    <xf numFmtId="0" fontId="0" fillId="0" borderId="54" xfId="0" applyBorder="1"/>
    <xf numFmtId="2" fontId="12" fillId="65" borderId="52" xfId="0" applyNumberFormat="1" applyFont="1" applyFill="1" applyBorder="1" applyAlignment="1">
      <alignment horizontal="right" vertical="center" wrapText="1"/>
    </xf>
    <xf numFmtId="0" fontId="69" fillId="0" borderId="21" xfId="0" applyFont="1" applyBorder="1" applyAlignment="1">
      <alignment horizontal="center" vertical="center" wrapText="1"/>
    </xf>
    <xf numFmtId="44" fontId="72" fillId="0" borderId="0" xfId="1" applyFont="1" applyFill="1" applyBorder="1" applyAlignment="1">
      <alignment horizontal="center" vertical="center"/>
    </xf>
    <xf numFmtId="0" fontId="11" fillId="0" borderId="18" xfId="0" applyFont="1" applyBorder="1" applyAlignment="1">
      <alignment vertical="top"/>
    </xf>
    <xf numFmtId="0" fontId="0" fillId="0" borderId="18" xfId="0" applyBorder="1"/>
    <xf numFmtId="0" fontId="0" fillId="0" borderId="18" xfId="0" applyBorder="1" applyAlignment="1">
      <alignment horizontal="left" vertical="center"/>
    </xf>
    <xf numFmtId="0" fontId="0" fillId="0" borderId="16" xfId="0" applyBorder="1" applyAlignment="1">
      <alignment horizontal="left" vertical="center" wrapText="1"/>
    </xf>
    <xf numFmtId="10" fontId="11" fillId="0" borderId="16" xfId="1" applyNumberFormat="1" applyFont="1" applyBorder="1" applyAlignment="1">
      <alignment horizontal="center" vertical="center"/>
    </xf>
    <xf numFmtId="0" fontId="0" fillId="0" borderId="16" xfId="0" applyBorder="1"/>
    <xf numFmtId="44" fontId="0" fillId="0" borderId="16" xfId="1" applyFont="1" applyBorder="1" applyAlignment="1">
      <alignment horizontal="center" vertical="center"/>
    </xf>
    <xf numFmtId="0" fontId="0" fillId="0" borderId="19" xfId="0" applyBorder="1"/>
    <xf numFmtId="0" fontId="11" fillId="0" borderId="16" xfId="0" applyFont="1" applyBorder="1" applyAlignment="1">
      <alignment horizontal="center"/>
    </xf>
    <xf numFmtId="0" fontId="0" fillId="0" borderId="16" xfId="0" applyBorder="1" applyAlignment="1">
      <alignment horizontal="center"/>
    </xf>
    <xf numFmtId="0" fontId="11" fillId="0" borderId="17" xfId="0" applyFont="1" applyBorder="1" applyAlignment="1">
      <alignment horizontal="center"/>
    </xf>
    <xf numFmtId="0" fontId="11" fillId="0" borderId="16" xfId="0" applyFont="1" applyBorder="1" applyAlignment="1">
      <alignment wrapText="1"/>
    </xf>
    <xf numFmtId="0" fontId="0" fillId="0" borderId="16" xfId="0" applyBorder="1" applyAlignment="1">
      <alignment wrapText="1"/>
    </xf>
    <xf numFmtId="0" fontId="0" fillId="0" borderId="16" xfId="0" applyBorder="1" applyAlignment="1">
      <alignment horizontal="center" vertical="center"/>
    </xf>
    <xf numFmtId="10" fontId="0" fillId="0" borderId="16" xfId="1" applyNumberFormat="1" applyFont="1" applyBorder="1" applyAlignment="1">
      <alignment horizontal="center" vertical="center"/>
    </xf>
    <xf numFmtId="0" fontId="68" fillId="0" borderId="0" xfId="355" applyFont="1" applyAlignment="1">
      <alignment vertical="top"/>
    </xf>
    <xf numFmtId="0" fontId="18" fillId="0" borderId="0" xfId="355" applyFont="1"/>
    <xf numFmtId="0" fontId="18" fillId="56" borderId="0" xfId="355" applyFont="1" applyFill="1" applyAlignment="1">
      <alignment horizontal="center"/>
    </xf>
    <xf numFmtId="0" fontId="68" fillId="0" borderId="0" xfId="355" applyFont="1" applyAlignment="1">
      <alignment horizontal="left" vertical="top"/>
    </xf>
    <xf numFmtId="0" fontId="18" fillId="0" borderId="0" xfId="355" applyFont="1" applyAlignment="1">
      <alignment horizontal="center"/>
    </xf>
    <xf numFmtId="0" fontId="109" fillId="0" borderId="0" xfId="355" applyFont="1"/>
    <xf numFmtId="0" fontId="71" fillId="0" borderId="0" xfId="355" applyFont="1" applyAlignment="1">
      <alignment vertical="center"/>
    </xf>
    <xf numFmtId="0" fontId="74" fillId="0" borderId="0" xfId="355" applyFont="1"/>
    <xf numFmtId="0" fontId="74" fillId="0" borderId="0" xfId="355" applyFont="1" applyAlignment="1">
      <alignment horizontal="center"/>
    </xf>
    <xf numFmtId="0" fontId="1" fillId="0" borderId="0" xfId="355" applyFont="1" applyAlignment="1">
      <alignment wrapText="1"/>
    </xf>
    <xf numFmtId="0" fontId="67" fillId="0" borderId="91" xfId="355" applyFont="1" applyBorder="1" applyAlignment="1">
      <alignment wrapText="1"/>
    </xf>
    <xf numFmtId="0" fontId="0" fillId="0" borderId="91" xfId="355" applyFont="1" applyBorder="1" applyAlignment="1">
      <alignment wrapText="1"/>
    </xf>
    <xf numFmtId="0" fontId="1" fillId="0" borderId="91" xfId="355" applyFont="1" applyBorder="1" applyAlignment="1">
      <alignment wrapText="1"/>
    </xf>
    <xf numFmtId="0" fontId="63" fillId="65" borderId="0" xfId="0" applyFont="1" applyFill="1" applyAlignment="1">
      <alignment horizontal="left" vertical="center" wrapText="1"/>
    </xf>
    <xf numFmtId="0" fontId="0" fillId="0" borderId="19" xfId="0" applyBorder="1" applyAlignment="1">
      <alignment horizontal="center" vertical="center"/>
    </xf>
    <xf numFmtId="0" fontId="11" fillId="0" borderId="19" xfId="0" applyFont="1" applyBorder="1" applyAlignment="1">
      <alignment horizontal="center" vertical="center"/>
    </xf>
    <xf numFmtId="0" fontId="17" fillId="0" borderId="19" xfId="0" applyFont="1" applyBorder="1" applyAlignment="1">
      <alignment horizontal="center" vertical="center"/>
    </xf>
    <xf numFmtId="0" fontId="69" fillId="0" borderId="49" xfId="0" applyFont="1" applyBorder="1" applyAlignment="1">
      <alignment horizontal="center"/>
    </xf>
    <xf numFmtId="0" fontId="11" fillId="74" borderId="16" xfId="0" applyFont="1" applyFill="1" applyBorder="1"/>
    <xf numFmtId="0" fontId="0" fillId="74" borderId="19" xfId="0" applyFill="1" applyBorder="1"/>
    <xf numFmtId="0" fontId="69" fillId="74" borderId="49" xfId="0" applyFont="1" applyFill="1" applyBorder="1" applyAlignment="1">
      <alignment horizontal="center" vertical="center"/>
    </xf>
    <xf numFmtId="0" fontId="69" fillId="74" borderId="49" xfId="0" applyFont="1" applyFill="1" applyBorder="1"/>
    <xf numFmtId="0" fontId="69" fillId="74" borderId="62" xfId="0" applyFont="1" applyFill="1" applyBorder="1"/>
    <xf numFmtId="0" fontId="69" fillId="0" borderId="70" xfId="0" applyFont="1" applyBorder="1"/>
    <xf numFmtId="0" fontId="69" fillId="74" borderId="49" xfId="0" applyFont="1" applyFill="1" applyBorder="1" applyAlignment="1">
      <alignment horizontal="left" vertical="top"/>
    </xf>
    <xf numFmtId="44" fontId="0" fillId="74" borderId="18" xfId="1" applyFont="1" applyFill="1" applyBorder="1" applyAlignment="1">
      <alignment horizontal="left" vertical="top" wrapText="1"/>
    </xf>
    <xf numFmtId="10" fontId="11" fillId="74" borderId="16" xfId="1" applyNumberFormat="1" applyFont="1" applyFill="1" applyBorder="1" applyAlignment="1">
      <alignment horizontal="center" vertical="center"/>
    </xf>
    <xf numFmtId="0" fontId="0" fillId="0" borderId="94" xfId="0" applyBorder="1" applyAlignment="1">
      <alignment vertical="top"/>
    </xf>
    <xf numFmtId="0" fontId="0" fillId="0" borderId="94" xfId="0" applyBorder="1" applyAlignment="1">
      <alignment horizontal="center" vertical="center"/>
    </xf>
    <xf numFmtId="44" fontId="11" fillId="66" borderId="16" xfId="1" applyFont="1" applyFill="1" applyBorder="1" applyAlignment="1">
      <alignment horizontal="center" vertical="center"/>
    </xf>
    <xf numFmtId="0" fontId="110" fillId="66" borderId="49" xfId="0" applyFont="1" applyFill="1" applyBorder="1" applyAlignment="1">
      <alignment horizontal="center" vertical="center"/>
    </xf>
    <xf numFmtId="44" fontId="72" fillId="74" borderId="0" xfId="1" applyFont="1" applyFill="1" applyBorder="1" applyAlignment="1">
      <alignment horizontal="center" vertical="center"/>
    </xf>
    <xf numFmtId="0" fontId="0" fillId="0" borderId="19" xfId="0" applyBorder="1" applyAlignment="1">
      <alignment horizontal="center" vertical="top"/>
    </xf>
    <xf numFmtId="0" fontId="76" fillId="0" borderId="0" xfId="0" applyFont="1" applyAlignment="1">
      <alignment horizontal="left" vertical="center"/>
    </xf>
    <xf numFmtId="44" fontId="0" fillId="66" borderId="17" xfId="1" applyFont="1" applyFill="1" applyBorder="1" applyAlignment="1">
      <alignment horizontal="center" vertical="center"/>
    </xf>
    <xf numFmtId="0" fontId="0" fillId="74" borderId="32" xfId="0" applyFill="1" applyBorder="1"/>
    <xf numFmtId="44" fontId="72" fillId="65" borderId="16" xfId="1" applyFont="1" applyFill="1" applyBorder="1" applyAlignment="1">
      <alignment horizontal="center" vertical="center"/>
    </xf>
    <xf numFmtId="44" fontId="0" fillId="74" borderId="37" xfId="1" applyFont="1" applyFill="1" applyBorder="1" applyAlignment="1">
      <alignment horizontal="left" vertical="top" wrapText="1"/>
    </xf>
    <xf numFmtId="10" fontId="0" fillId="74" borderId="17" xfId="1" applyNumberFormat="1" applyFont="1" applyFill="1" applyBorder="1" applyAlignment="1">
      <alignment horizontal="center" vertical="center"/>
    </xf>
    <xf numFmtId="44" fontId="72" fillId="74" borderId="0" xfId="1" applyFont="1" applyFill="1" applyBorder="1" applyAlignment="1">
      <alignment horizontal="right" vertical="center"/>
    </xf>
    <xf numFmtId="0" fontId="72" fillId="0" borderId="16" xfId="0" applyFont="1" applyBorder="1" applyAlignment="1">
      <alignment horizontal="left" wrapText="1"/>
    </xf>
    <xf numFmtId="0" fontId="72" fillId="0" borderId="18" xfId="0" applyFont="1" applyBorder="1" applyAlignment="1">
      <alignment horizontal="left"/>
    </xf>
    <xf numFmtId="0" fontId="72" fillId="0" borderId="18" xfId="0" applyFont="1" applyBorder="1" applyAlignment="1">
      <alignment horizontal="center"/>
    </xf>
    <xf numFmtId="0" fontId="72" fillId="0" borderId="33" xfId="0" applyFont="1" applyBorder="1" applyAlignment="1">
      <alignment horizontal="center"/>
    </xf>
    <xf numFmtId="0" fontId="0" fillId="0" borderId="36" xfId="0" applyBorder="1" applyAlignment="1">
      <alignment horizontal="left" wrapText="1"/>
    </xf>
    <xf numFmtId="0" fontId="0" fillId="0" borderId="18" xfId="0" applyBorder="1" applyAlignment="1">
      <alignment horizontal="left" wrapText="1"/>
    </xf>
    <xf numFmtId="0" fontId="72" fillId="0" borderId="17" xfId="0" applyFont="1" applyBorder="1" applyAlignment="1">
      <alignment horizontal="left" wrapText="1"/>
    </xf>
    <xf numFmtId="0" fontId="72" fillId="0" borderId="22" xfId="0" applyFont="1" applyBorder="1" applyAlignment="1">
      <alignment horizontal="left"/>
    </xf>
    <xf numFmtId="0" fontId="72" fillId="0" borderId="21" xfId="0" applyFont="1" applyBorder="1" applyAlignment="1">
      <alignment horizontal="left"/>
    </xf>
    <xf numFmtId="0" fontId="72" fillId="65" borderId="18" xfId="0" applyFont="1" applyFill="1" applyBorder="1" applyAlignment="1">
      <alignment horizontal="right" wrapText="1"/>
    </xf>
    <xf numFmtId="0" fontId="69" fillId="0" borderId="47" xfId="0" applyFont="1" applyBorder="1" applyAlignment="1">
      <alignment vertical="center"/>
    </xf>
    <xf numFmtId="0" fontId="72" fillId="0" borderId="22" xfId="0" applyFont="1" applyBorder="1" applyAlignment="1">
      <alignment horizontal="left" wrapText="1"/>
    </xf>
    <xf numFmtId="0" fontId="69" fillId="0" borderId="19" xfId="0" applyFont="1" applyBorder="1" applyAlignment="1">
      <alignment vertical="center"/>
    </xf>
    <xf numFmtId="0" fontId="72" fillId="0" borderId="21" xfId="0" applyFont="1" applyBorder="1" applyAlignment="1">
      <alignment horizontal="left" wrapText="1"/>
    </xf>
    <xf numFmtId="44" fontId="11" fillId="65" borderId="0" xfId="1" applyFont="1" applyFill="1"/>
    <xf numFmtId="44" fontId="0" fillId="65" borderId="0" xfId="1" applyFont="1" applyFill="1"/>
    <xf numFmtId="44" fontId="1" fillId="0" borderId="16" xfId="1" applyFont="1" applyFill="1" applyBorder="1" applyAlignment="1">
      <alignment horizontal="center" vertical="center"/>
    </xf>
    <xf numFmtId="0" fontId="11" fillId="0" borderId="18" xfId="0" applyFont="1" applyBorder="1" applyAlignment="1">
      <alignment vertical="top" wrapText="1"/>
    </xf>
    <xf numFmtId="10" fontId="11" fillId="0" borderId="16" xfId="0" applyNumberFormat="1" applyFont="1" applyBorder="1" applyAlignment="1">
      <alignment vertical="center"/>
    </xf>
    <xf numFmtId="0" fontId="111" fillId="0" borderId="0" xfId="0" applyFont="1" applyAlignment="1">
      <alignment horizontal="center" vertical="center"/>
    </xf>
    <xf numFmtId="0" fontId="72" fillId="0" borderId="16" xfId="0" applyFont="1" applyBorder="1" applyAlignment="1">
      <alignment horizontal="left" vertical="center"/>
    </xf>
    <xf numFmtId="0" fontId="91" fillId="0" borderId="0" xfId="355" applyFont="1" applyAlignment="1">
      <alignment vertical="center"/>
    </xf>
    <xf numFmtId="0" fontId="38" fillId="0" borderId="16" xfId="0" applyFont="1" applyBorder="1" applyAlignment="1">
      <alignment horizontal="center"/>
    </xf>
    <xf numFmtId="0" fontId="38" fillId="0" borderId="17" xfId="0" applyFont="1" applyBorder="1" applyAlignment="1">
      <alignment horizontal="center"/>
    </xf>
    <xf numFmtId="0" fontId="72" fillId="0" borderId="0" xfId="0" applyFont="1" applyAlignment="1">
      <alignment horizontal="center" vertical="center"/>
    </xf>
    <xf numFmtId="44" fontId="38" fillId="0" borderId="16" xfId="1" applyFont="1" applyBorder="1" applyAlignment="1">
      <alignment horizontal="center" vertical="center"/>
    </xf>
    <xf numFmtId="0" fontId="0" fillId="0" borderId="91" xfId="355" applyFont="1" applyBorder="1" applyAlignment="1">
      <alignment vertical="top" wrapText="1"/>
    </xf>
    <xf numFmtId="0" fontId="88" fillId="0" borderId="0" xfId="0" applyFont="1" applyAlignment="1">
      <alignment horizontal="left" vertical="top" wrapText="1"/>
    </xf>
    <xf numFmtId="0" fontId="0" fillId="0" borderId="0" xfId="0" applyAlignment="1">
      <alignment horizontal="left" vertical="top" wrapText="1"/>
    </xf>
    <xf numFmtId="0" fontId="90" fillId="0" borderId="0" xfId="0" applyFont="1" applyAlignment="1">
      <alignment horizontal="center" vertical="top" wrapText="1"/>
    </xf>
    <xf numFmtId="0" fontId="17" fillId="0" borderId="0" xfId="0" applyFont="1" applyAlignment="1">
      <alignment horizontal="left" vertical="top" wrapText="1"/>
    </xf>
    <xf numFmtId="0" fontId="72" fillId="0" borderId="0" xfId="0" applyFont="1" applyAlignment="1">
      <alignment horizontal="left" vertical="top" wrapText="1"/>
    </xf>
    <xf numFmtId="0" fontId="11" fillId="0" borderId="0" xfId="0" applyFont="1" applyAlignment="1">
      <alignment horizontal="left" vertical="top" wrapText="1"/>
    </xf>
    <xf numFmtId="0" fontId="1" fillId="0" borderId="92" xfId="355" applyFont="1" applyBorder="1" applyAlignment="1">
      <alignment horizontal="left" vertical="top" wrapText="1"/>
    </xf>
    <xf numFmtId="0" fontId="1" fillId="0" borderId="93" xfId="355" applyFont="1" applyBorder="1" applyAlignment="1">
      <alignment horizontal="left" vertical="top" wrapText="1"/>
    </xf>
    <xf numFmtId="0" fontId="0" fillId="0" borderId="52" xfId="0" applyBorder="1" applyAlignment="1">
      <alignment vertical="top" wrapText="1"/>
    </xf>
    <xf numFmtId="0" fontId="87" fillId="0" borderId="86" xfId="0" applyFont="1" applyBorder="1" applyAlignment="1">
      <alignment horizontal="left" vertical="top"/>
    </xf>
    <xf numFmtId="0" fontId="87" fillId="0" borderId="87" xfId="0" applyFont="1" applyBorder="1" applyAlignment="1">
      <alignment horizontal="left" vertical="top"/>
    </xf>
    <xf numFmtId="0" fontId="87" fillId="0" borderId="88" xfId="0" applyFont="1" applyBorder="1" applyAlignment="1">
      <alignment horizontal="left" vertical="top"/>
    </xf>
    <xf numFmtId="0" fontId="12" fillId="0" borderId="44" xfId="0" applyFont="1" applyBorder="1" applyAlignment="1">
      <alignment horizontal="center" vertical="center" textRotation="90" wrapText="1"/>
    </xf>
    <xf numFmtId="0" fontId="0" fillId="0" borderId="45" xfId="0" applyBorder="1" applyAlignment="1">
      <alignment horizontal="center" vertical="center" textRotation="90" wrapText="1"/>
    </xf>
    <xf numFmtId="0" fontId="0" fillId="0" borderId="46" xfId="0" applyBorder="1" applyAlignment="1">
      <alignment horizontal="center" vertical="center" textRotation="90" wrapText="1"/>
    </xf>
    <xf numFmtId="2" fontId="12" fillId="0" borderId="44" xfId="0" applyNumberFormat="1" applyFont="1" applyBorder="1" applyAlignment="1">
      <alignment horizontal="center" vertical="center" wrapText="1"/>
    </xf>
    <xf numFmtId="2" fontId="12" fillId="0" borderId="45" xfId="0" applyNumberFormat="1" applyFont="1" applyBorder="1" applyAlignment="1">
      <alignment horizontal="center" vertical="center" wrapText="1"/>
    </xf>
    <xf numFmtId="2" fontId="12" fillId="0" borderId="46" xfId="0" applyNumberFormat="1" applyFont="1" applyBorder="1" applyAlignment="1">
      <alignment horizontal="center" vertical="center" wrapText="1"/>
    </xf>
    <xf numFmtId="0" fontId="12" fillId="0" borderId="46" xfId="0" applyFont="1" applyBorder="1" applyAlignment="1">
      <alignment horizontal="center" vertical="center" textRotation="90" wrapText="1"/>
    </xf>
    <xf numFmtId="49" fontId="38" fillId="0" borderId="0" xfId="0" applyNumberFormat="1" applyFont="1" applyAlignment="1">
      <alignment horizontal="left" vertical="top" wrapText="1"/>
    </xf>
    <xf numFmtId="49" fontId="0" fillId="0" borderId="0" xfId="0" applyNumberFormat="1" applyAlignment="1">
      <alignment horizontal="left" vertical="top" wrapText="1"/>
    </xf>
    <xf numFmtId="0" fontId="38" fillId="0" borderId="0" xfId="0" applyFont="1" applyAlignment="1">
      <alignment horizontal="left" vertical="top" wrapText="1"/>
    </xf>
    <xf numFmtId="0" fontId="66" fillId="0" borderId="0" xfId="2" applyNumberFormat="1" applyBorder="1" applyAlignment="1">
      <alignment horizontal="left" vertical="top" wrapText="1"/>
    </xf>
    <xf numFmtId="0" fontId="65" fillId="0" borderId="0" xfId="0" applyFont="1" applyAlignment="1">
      <alignment horizontal="left" vertical="top" wrapText="1"/>
    </xf>
    <xf numFmtId="0" fontId="38" fillId="0" borderId="60" xfId="2" applyNumberFormat="1" applyFont="1" applyFill="1" applyBorder="1" applyAlignment="1">
      <alignment horizontal="left" vertical="top" wrapText="1"/>
    </xf>
    <xf numFmtId="0" fontId="38" fillId="0" borderId="61" xfId="2" applyNumberFormat="1" applyFont="1" applyFill="1" applyBorder="1" applyAlignment="1">
      <alignment horizontal="left" vertical="top" wrapText="1"/>
    </xf>
    <xf numFmtId="0" fontId="69" fillId="0" borderId="62" xfId="0" applyFont="1" applyBorder="1" applyAlignment="1">
      <alignment horizontal="left" vertical="top" wrapText="1"/>
    </xf>
    <xf numFmtId="0" fontId="69" fillId="0" borderId="63" xfId="0" applyFont="1" applyBorder="1" applyAlignment="1">
      <alignment horizontal="left" vertical="top" wrapText="1"/>
    </xf>
    <xf numFmtId="0" fontId="73" fillId="0" borderId="0" xfId="0" applyFont="1" applyAlignment="1">
      <alignment horizontal="left" vertical="top" wrapText="1"/>
    </xf>
    <xf numFmtId="0" fontId="94" fillId="0" borderId="0" xfId="0" applyFont="1" applyAlignment="1">
      <alignment horizontal="left" vertical="top" wrapText="1"/>
    </xf>
    <xf numFmtId="0" fontId="101" fillId="0" borderId="0" xfId="0" applyFont="1" applyAlignment="1">
      <alignment horizontal="left" vertical="top" wrapText="1"/>
    </xf>
    <xf numFmtId="0" fontId="95" fillId="0" borderId="0" xfId="0" applyFont="1" applyAlignment="1">
      <alignment horizontal="left" vertical="top" wrapText="1"/>
    </xf>
    <xf numFmtId="0" fontId="76" fillId="0" borderId="0" xfId="0" applyFont="1" applyAlignment="1">
      <alignment horizontal="left" vertical="top" wrapText="1"/>
    </xf>
    <xf numFmtId="0" fontId="69" fillId="0" borderId="19" xfId="0" applyFont="1" applyBorder="1" applyAlignment="1">
      <alignment horizontal="left" vertical="top" wrapText="1"/>
    </xf>
    <xf numFmtId="0" fontId="69" fillId="0" borderId="31" xfId="0" applyFont="1" applyBorder="1" applyAlignment="1">
      <alignment horizontal="left" vertical="top" wrapText="1"/>
    </xf>
    <xf numFmtId="0" fontId="69" fillId="0" borderId="18" xfId="0" applyFont="1" applyBorder="1" applyAlignment="1">
      <alignment horizontal="left" vertical="top" wrapText="1"/>
    </xf>
  </cellXfs>
  <cellStyles count="981">
    <cellStyle name="20% - Accent1" xfId="20" builtinId="30" customBuiltin="1"/>
    <cellStyle name="20% - Accent1 2" xfId="52" xr:uid="{00000000-0005-0000-0000-000001000000}"/>
    <cellStyle name="20% - Accent1 2 2" xfId="139" xr:uid="{00000000-0005-0000-0000-000002000000}"/>
    <cellStyle name="20% - Accent1 2 3" xfId="257" xr:uid="{00000000-0005-0000-0000-000003000000}"/>
    <cellStyle name="20% - Accent1 3" xfId="66" xr:uid="{00000000-0005-0000-0000-000004000000}"/>
    <cellStyle name="20% - Accent1 3 2" xfId="153" xr:uid="{00000000-0005-0000-0000-000005000000}"/>
    <cellStyle name="20% - Accent1 4" xfId="82" xr:uid="{00000000-0005-0000-0000-000006000000}"/>
    <cellStyle name="20% - Accent1 4 2" xfId="168" xr:uid="{00000000-0005-0000-0000-000007000000}"/>
    <cellStyle name="20% - Accent1 5" xfId="96" xr:uid="{00000000-0005-0000-0000-000008000000}"/>
    <cellStyle name="20% - Accent1 5 2" xfId="182" xr:uid="{00000000-0005-0000-0000-000009000000}"/>
    <cellStyle name="20% - Accent1 6" xfId="110" xr:uid="{00000000-0005-0000-0000-00000A000000}"/>
    <cellStyle name="20% - Accent1 6 2" xfId="196" xr:uid="{00000000-0005-0000-0000-00000B000000}"/>
    <cellStyle name="20% - Accent1 7" xfId="122" xr:uid="{00000000-0005-0000-0000-00000C000000}"/>
    <cellStyle name="20% - Accent1 8" xfId="228" xr:uid="{00000000-0005-0000-0000-00000D000000}"/>
    <cellStyle name="20% - Accent2" xfId="24" builtinId="34" customBuiltin="1"/>
    <cellStyle name="20% - Accent2 2" xfId="54" xr:uid="{00000000-0005-0000-0000-00000F000000}"/>
    <cellStyle name="20% - Accent2 2 2" xfId="141" xr:uid="{00000000-0005-0000-0000-000010000000}"/>
    <cellStyle name="20% - Accent2 2 3" xfId="258" xr:uid="{00000000-0005-0000-0000-000011000000}"/>
    <cellStyle name="20% - Accent2 3" xfId="68" xr:uid="{00000000-0005-0000-0000-000012000000}"/>
    <cellStyle name="20% - Accent2 3 2" xfId="155" xr:uid="{00000000-0005-0000-0000-000013000000}"/>
    <cellStyle name="20% - Accent2 4" xfId="84" xr:uid="{00000000-0005-0000-0000-000014000000}"/>
    <cellStyle name="20% - Accent2 4 2" xfId="170" xr:uid="{00000000-0005-0000-0000-000015000000}"/>
    <cellStyle name="20% - Accent2 5" xfId="98" xr:uid="{00000000-0005-0000-0000-000016000000}"/>
    <cellStyle name="20% - Accent2 5 2" xfId="184" xr:uid="{00000000-0005-0000-0000-000017000000}"/>
    <cellStyle name="20% - Accent2 6" xfId="112" xr:uid="{00000000-0005-0000-0000-000018000000}"/>
    <cellStyle name="20% - Accent2 6 2" xfId="198" xr:uid="{00000000-0005-0000-0000-000019000000}"/>
    <cellStyle name="20% - Accent2 7" xfId="124" xr:uid="{00000000-0005-0000-0000-00001A000000}"/>
    <cellStyle name="20% - Accent2 8" xfId="232" xr:uid="{00000000-0005-0000-0000-00001B000000}"/>
    <cellStyle name="20% - Accent3" xfId="28" builtinId="38" customBuiltin="1"/>
    <cellStyle name="20% - Accent3 2" xfId="56" xr:uid="{00000000-0005-0000-0000-00001D000000}"/>
    <cellStyle name="20% - Accent3 2 2" xfId="143" xr:uid="{00000000-0005-0000-0000-00001E000000}"/>
    <cellStyle name="20% - Accent3 2 3" xfId="259" xr:uid="{00000000-0005-0000-0000-00001F000000}"/>
    <cellStyle name="20% - Accent3 3" xfId="70" xr:uid="{00000000-0005-0000-0000-000020000000}"/>
    <cellStyle name="20% - Accent3 3 2" xfId="157" xr:uid="{00000000-0005-0000-0000-000021000000}"/>
    <cellStyle name="20% - Accent3 4" xfId="86" xr:uid="{00000000-0005-0000-0000-000022000000}"/>
    <cellStyle name="20% - Accent3 4 2" xfId="172" xr:uid="{00000000-0005-0000-0000-000023000000}"/>
    <cellStyle name="20% - Accent3 5" xfId="100" xr:uid="{00000000-0005-0000-0000-000024000000}"/>
    <cellStyle name="20% - Accent3 5 2" xfId="186" xr:uid="{00000000-0005-0000-0000-000025000000}"/>
    <cellStyle name="20% - Accent3 6" xfId="114" xr:uid="{00000000-0005-0000-0000-000026000000}"/>
    <cellStyle name="20% - Accent3 6 2" xfId="200" xr:uid="{00000000-0005-0000-0000-000027000000}"/>
    <cellStyle name="20% - Accent3 7" xfId="126" xr:uid="{00000000-0005-0000-0000-000028000000}"/>
    <cellStyle name="20% - Accent3 8" xfId="236" xr:uid="{00000000-0005-0000-0000-000029000000}"/>
    <cellStyle name="20% - Accent4" xfId="32" builtinId="42" customBuiltin="1"/>
    <cellStyle name="20% - Accent4 2" xfId="58" xr:uid="{00000000-0005-0000-0000-00002B000000}"/>
    <cellStyle name="20% - Accent4 2 2" xfId="145" xr:uid="{00000000-0005-0000-0000-00002C000000}"/>
    <cellStyle name="20% - Accent4 2 3" xfId="260" xr:uid="{00000000-0005-0000-0000-00002D000000}"/>
    <cellStyle name="20% - Accent4 3" xfId="72" xr:uid="{00000000-0005-0000-0000-00002E000000}"/>
    <cellStyle name="20% - Accent4 3 2" xfId="159" xr:uid="{00000000-0005-0000-0000-00002F000000}"/>
    <cellStyle name="20% - Accent4 4" xfId="88" xr:uid="{00000000-0005-0000-0000-000030000000}"/>
    <cellStyle name="20% - Accent4 4 2" xfId="174" xr:uid="{00000000-0005-0000-0000-000031000000}"/>
    <cellStyle name="20% - Accent4 5" xfId="102" xr:uid="{00000000-0005-0000-0000-000032000000}"/>
    <cellStyle name="20% - Accent4 5 2" xfId="188" xr:uid="{00000000-0005-0000-0000-000033000000}"/>
    <cellStyle name="20% - Accent4 6" xfId="116" xr:uid="{00000000-0005-0000-0000-000034000000}"/>
    <cellStyle name="20% - Accent4 6 2" xfId="202" xr:uid="{00000000-0005-0000-0000-000035000000}"/>
    <cellStyle name="20% - Accent4 7" xfId="128" xr:uid="{00000000-0005-0000-0000-000036000000}"/>
    <cellStyle name="20% - Accent4 8" xfId="240" xr:uid="{00000000-0005-0000-0000-000037000000}"/>
    <cellStyle name="20% - Accent5" xfId="36" builtinId="46" customBuiltin="1"/>
    <cellStyle name="20% - Accent5 2" xfId="60" xr:uid="{00000000-0005-0000-0000-000039000000}"/>
    <cellStyle name="20% - Accent5 2 2" xfId="147" xr:uid="{00000000-0005-0000-0000-00003A000000}"/>
    <cellStyle name="20% - Accent5 2 3" xfId="261" xr:uid="{00000000-0005-0000-0000-00003B000000}"/>
    <cellStyle name="20% - Accent5 3" xfId="74" xr:uid="{00000000-0005-0000-0000-00003C000000}"/>
    <cellStyle name="20% - Accent5 3 2" xfId="161" xr:uid="{00000000-0005-0000-0000-00003D000000}"/>
    <cellStyle name="20% - Accent5 4" xfId="90" xr:uid="{00000000-0005-0000-0000-00003E000000}"/>
    <cellStyle name="20% - Accent5 4 2" xfId="176" xr:uid="{00000000-0005-0000-0000-00003F000000}"/>
    <cellStyle name="20% - Accent5 5" xfId="104" xr:uid="{00000000-0005-0000-0000-000040000000}"/>
    <cellStyle name="20% - Accent5 5 2" xfId="190" xr:uid="{00000000-0005-0000-0000-000041000000}"/>
    <cellStyle name="20% - Accent5 6" xfId="118" xr:uid="{00000000-0005-0000-0000-000042000000}"/>
    <cellStyle name="20% - Accent5 6 2" xfId="204" xr:uid="{00000000-0005-0000-0000-000043000000}"/>
    <cellStyle name="20% - Accent5 7" xfId="130" xr:uid="{00000000-0005-0000-0000-000044000000}"/>
    <cellStyle name="20% - Accent5 8" xfId="244" xr:uid="{00000000-0005-0000-0000-000045000000}"/>
    <cellStyle name="20% - Accent6" xfId="40" builtinId="50" customBuiltin="1"/>
    <cellStyle name="20% - Accent6 2" xfId="62" xr:uid="{00000000-0005-0000-0000-000047000000}"/>
    <cellStyle name="20% - Accent6 2 2" xfId="149" xr:uid="{00000000-0005-0000-0000-000048000000}"/>
    <cellStyle name="20% - Accent6 2 3" xfId="262" xr:uid="{00000000-0005-0000-0000-000049000000}"/>
    <cellStyle name="20% - Accent6 3" xfId="76" xr:uid="{00000000-0005-0000-0000-00004A000000}"/>
    <cellStyle name="20% - Accent6 3 2" xfId="163" xr:uid="{00000000-0005-0000-0000-00004B000000}"/>
    <cellStyle name="20% - Accent6 4" xfId="92" xr:uid="{00000000-0005-0000-0000-00004C000000}"/>
    <cellStyle name="20% - Accent6 4 2" xfId="178" xr:uid="{00000000-0005-0000-0000-00004D000000}"/>
    <cellStyle name="20% - Accent6 5" xfId="106" xr:uid="{00000000-0005-0000-0000-00004E000000}"/>
    <cellStyle name="20% - Accent6 5 2" xfId="192" xr:uid="{00000000-0005-0000-0000-00004F000000}"/>
    <cellStyle name="20% - Accent6 6" xfId="120" xr:uid="{00000000-0005-0000-0000-000050000000}"/>
    <cellStyle name="20% - Accent6 6 2" xfId="206" xr:uid="{00000000-0005-0000-0000-000051000000}"/>
    <cellStyle name="20% - Accent6 7" xfId="132" xr:uid="{00000000-0005-0000-0000-000052000000}"/>
    <cellStyle name="20% - Accent6 8" xfId="248" xr:uid="{00000000-0005-0000-0000-000053000000}"/>
    <cellStyle name="40% - Accent1" xfId="21" builtinId="31" customBuiltin="1"/>
    <cellStyle name="40% - Accent1 2" xfId="53" xr:uid="{00000000-0005-0000-0000-000055000000}"/>
    <cellStyle name="40% - Accent1 2 2" xfId="140" xr:uid="{00000000-0005-0000-0000-000056000000}"/>
    <cellStyle name="40% - Accent1 2 3" xfId="263" xr:uid="{00000000-0005-0000-0000-000057000000}"/>
    <cellStyle name="40% - Accent1 3" xfId="67" xr:uid="{00000000-0005-0000-0000-000058000000}"/>
    <cellStyle name="40% - Accent1 3 2" xfId="154" xr:uid="{00000000-0005-0000-0000-000059000000}"/>
    <cellStyle name="40% - Accent1 4" xfId="83" xr:uid="{00000000-0005-0000-0000-00005A000000}"/>
    <cellStyle name="40% - Accent1 4 2" xfId="169" xr:uid="{00000000-0005-0000-0000-00005B000000}"/>
    <cellStyle name="40% - Accent1 5" xfId="97" xr:uid="{00000000-0005-0000-0000-00005C000000}"/>
    <cellStyle name="40% - Accent1 5 2" xfId="183" xr:uid="{00000000-0005-0000-0000-00005D000000}"/>
    <cellStyle name="40% - Accent1 6" xfId="111" xr:uid="{00000000-0005-0000-0000-00005E000000}"/>
    <cellStyle name="40% - Accent1 6 2" xfId="197" xr:uid="{00000000-0005-0000-0000-00005F000000}"/>
    <cellStyle name="40% - Accent1 7" xfId="123" xr:uid="{00000000-0005-0000-0000-000060000000}"/>
    <cellStyle name="40% - Accent1 8" xfId="229" xr:uid="{00000000-0005-0000-0000-000061000000}"/>
    <cellStyle name="40% - Accent2" xfId="25" builtinId="35" customBuiltin="1"/>
    <cellStyle name="40% - Accent2 2" xfId="55" xr:uid="{00000000-0005-0000-0000-000063000000}"/>
    <cellStyle name="40% - Accent2 2 2" xfId="142" xr:uid="{00000000-0005-0000-0000-000064000000}"/>
    <cellStyle name="40% - Accent2 2 3" xfId="264" xr:uid="{00000000-0005-0000-0000-000065000000}"/>
    <cellStyle name="40% - Accent2 3" xfId="69" xr:uid="{00000000-0005-0000-0000-000066000000}"/>
    <cellStyle name="40% - Accent2 3 2" xfId="156" xr:uid="{00000000-0005-0000-0000-000067000000}"/>
    <cellStyle name="40% - Accent2 4" xfId="85" xr:uid="{00000000-0005-0000-0000-000068000000}"/>
    <cellStyle name="40% - Accent2 4 2" xfId="171" xr:uid="{00000000-0005-0000-0000-000069000000}"/>
    <cellStyle name="40% - Accent2 5" xfId="99" xr:uid="{00000000-0005-0000-0000-00006A000000}"/>
    <cellStyle name="40% - Accent2 5 2" xfId="185" xr:uid="{00000000-0005-0000-0000-00006B000000}"/>
    <cellStyle name="40% - Accent2 6" xfId="113" xr:uid="{00000000-0005-0000-0000-00006C000000}"/>
    <cellStyle name="40% - Accent2 6 2" xfId="199" xr:uid="{00000000-0005-0000-0000-00006D000000}"/>
    <cellStyle name="40% - Accent2 7" xfId="125" xr:uid="{00000000-0005-0000-0000-00006E000000}"/>
    <cellStyle name="40% - Accent2 8" xfId="233" xr:uid="{00000000-0005-0000-0000-00006F000000}"/>
    <cellStyle name="40% - Accent3" xfId="29" builtinId="39" customBuiltin="1"/>
    <cellStyle name="40% - Accent3 2" xfId="57" xr:uid="{00000000-0005-0000-0000-000071000000}"/>
    <cellStyle name="40% - Accent3 2 2" xfId="144" xr:uid="{00000000-0005-0000-0000-000072000000}"/>
    <cellStyle name="40% - Accent3 2 3" xfId="265" xr:uid="{00000000-0005-0000-0000-000073000000}"/>
    <cellStyle name="40% - Accent3 3" xfId="71" xr:uid="{00000000-0005-0000-0000-000074000000}"/>
    <cellStyle name="40% - Accent3 3 2" xfId="158" xr:uid="{00000000-0005-0000-0000-000075000000}"/>
    <cellStyle name="40% - Accent3 4" xfId="87" xr:uid="{00000000-0005-0000-0000-000076000000}"/>
    <cellStyle name="40% - Accent3 4 2" xfId="173" xr:uid="{00000000-0005-0000-0000-000077000000}"/>
    <cellStyle name="40% - Accent3 5" xfId="101" xr:uid="{00000000-0005-0000-0000-000078000000}"/>
    <cellStyle name="40% - Accent3 5 2" xfId="187" xr:uid="{00000000-0005-0000-0000-000079000000}"/>
    <cellStyle name="40% - Accent3 6" xfId="115" xr:uid="{00000000-0005-0000-0000-00007A000000}"/>
    <cellStyle name="40% - Accent3 6 2" xfId="201" xr:uid="{00000000-0005-0000-0000-00007B000000}"/>
    <cellStyle name="40% - Accent3 7" xfId="127" xr:uid="{00000000-0005-0000-0000-00007C000000}"/>
    <cellStyle name="40% - Accent3 8" xfId="237" xr:uid="{00000000-0005-0000-0000-00007D000000}"/>
    <cellStyle name="40% - Accent4" xfId="33" builtinId="43" customBuiltin="1"/>
    <cellStyle name="40% - Accent4 2" xfId="59" xr:uid="{00000000-0005-0000-0000-00007F000000}"/>
    <cellStyle name="40% - Accent4 2 2" xfId="146" xr:uid="{00000000-0005-0000-0000-000080000000}"/>
    <cellStyle name="40% - Accent4 2 3" xfId="266" xr:uid="{00000000-0005-0000-0000-000081000000}"/>
    <cellStyle name="40% - Accent4 3" xfId="73" xr:uid="{00000000-0005-0000-0000-000082000000}"/>
    <cellStyle name="40% - Accent4 3 2" xfId="160" xr:uid="{00000000-0005-0000-0000-000083000000}"/>
    <cellStyle name="40% - Accent4 4" xfId="89" xr:uid="{00000000-0005-0000-0000-000084000000}"/>
    <cellStyle name="40% - Accent4 4 2" xfId="175" xr:uid="{00000000-0005-0000-0000-000085000000}"/>
    <cellStyle name="40% - Accent4 5" xfId="103" xr:uid="{00000000-0005-0000-0000-000086000000}"/>
    <cellStyle name="40% - Accent4 5 2" xfId="189" xr:uid="{00000000-0005-0000-0000-000087000000}"/>
    <cellStyle name="40% - Accent4 6" xfId="117" xr:uid="{00000000-0005-0000-0000-000088000000}"/>
    <cellStyle name="40% - Accent4 6 2" xfId="203" xr:uid="{00000000-0005-0000-0000-000089000000}"/>
    <cellStyle name="40% - Accent4 7" xfId="129" xr:uid="{00000000-0005-0000-0000-00008A000000}"/>
    <cellStyle name="40% - Accent4 8" xfId="241" xr:uid="{00000000-0005-0000-0000-00008B000000}"/>
    <cellStyle name="40% - Accent5" xfId="37" builtinId="47" customBuiltin="1"/>
    <cellStyle name="40% - Accent5 2" xfId="61" xr:uid="{00000000-0005-0000-0000-00008D000000}"/>
    <cellStyle name="40% - Accent5 2 2" xfId="148" xr:uid="{00000000-0005-0000-0000-00008E000000}"/>
    <cellStyle name="40% - Accent5 2 3" xfId="267" xr:uid="{00000000-0005-0000-0000-00008F000000}"/>
    <cellStyle name="40% - Accent5 3" xfId="75" xr:uid="{00000000-0005-0000-0000-000090000000}"/>
    <cellStyle name="40% - Accent5 3 2" xfId="162" xr:uid="{00000000-0005-0000-0000-000091000000}"/>
    <cellStyle name="40% - Accent5 4" xfId="91" xr:uid="{00000000-0005-0000-0000-000092000000}"/>
    <cellStyle name="40% - Accent5 4 2" xfId="177" xr:uid="{00000000-0005-0000-0000-000093000000}"/>
    <cellStyle name="40% - Accent5 5" xfId="105" xr:uid="{00000000-0005-0000-0000-000094000000}"/>
    <cellStyle name="40% - Accent5 5 2" xfId="191" xr:uid="{00000000-0005-0000-0000-000095000000}"/>
    <cellStyle name="40% - Accent5 6" xfId="119" xr:uid="{00000000-0005-0000-0000-000096000000}"/>
    <cellStyle name="40% - Accent5 6 2" xfId="205" xr:uid="{00000000-0005-0000-0000-000097000000}"/>
    <cellStyle name="40% - Accent5 7" xfId="131" xr:uid="{00000000-0005-0000-0000-000098000000}"/>
    <cellStyle name="40% - Accent5 8" xfId="245" xr:uid="{00000000-0005-0000-0000-000099000000}"/>
    <cellStyle name="40% - Accent6" xfId="41" builtinId="51" customBuiltin="1"/>
    <cellStyle name="40% - Accent6 2" xfId="63" xr:uid="{00000000-0005-0000-0000-00009B000000}"/>
    <cellStyle name="40% - Accent6 2 2" xfId="150" xr:uid="{00000000-0005-0000-0000-00009C000000}"/>
    <cellStyle name="40% - Accent6 2 3" xfId="268" xr:uid="{00000000-0005-0000-0000-00009D000000}"/>
    <cellStyle name="40% - Accent6 3" xfId="77" xr:uid="{00000000-0005-0000-0000-00009E000000}"/>
    <cellStyle name="40% - Accent6 3 2" xfId="164" xr:uid="{00000000-0005-0000-0000-00009F000000}"/>
    <cellStyle name="40% - Accent6 4" xfId="93" xr:uid="{00000000-0005-0000-0000-0000A0000000}"/>
    <cellStyle name="40% - Accent6 4 2" xfId="179" xr:uid="{00000000-0005-0000-0000-0000A1000000}"/>
    <cellStyle name="40% - Accent6 5" xfId="107" xr:uid="{00000000-0005-0000-0000-0000A2000000}"/>
    <cellStyle name="40% - Accent6 5 2" xfId="193" xr:uid="{00000000-0005-0000-0000-0000A3000000}"/>
    <cellStyle name="40% - Accent6 6" xfId="121" xr:uid="{00000000-0005-0000-0000-0000A4000000}"/>
    <cellStyle name="40% - Accent6 6 2" xfId="207" xr:uid="{00000000-0005-0000-0000-0000A5000000}"/>
    <cellStyle name="40% - Accent6 7" xfId="133" xr:uid="{00000000-0005-0000-0000-0000A6000000}"/>
    <cellStyle name="40% - Accent6 8" xfId="249" xr:uid="{00000000-0005-0000-0000-0000A7000000}"/>
    <cellStyle name="60% - Accent1" xfId="22" builtinId="32" customBuiltin="1"/>
    <cellStyle name="60% - Accent1 2" xfId="269" xr:uid="{00000000-0005-0000-0000-0000A9000000}"/>
    <cellStyle name="60% - Accent1 3" xfId="230" xr:uid="{00000000-0005-0000-0000-0000AA000000}"/>
    <cellStyle name="60% - Accent2" xfId="26" builtinId="36" customBuiltin="1"/>
    <cellStyle name="60% - Accent2 2" xfId="270" xr:uid="{00000000-0005-0000-0000-0000AC000000}"/>
    <cellStyle name="60% - Accent2 3" xfId="234" xr:uid="{00000000-0005-0000-0000-0000AD000000}"/>
    <cellStyle name="60% - Accent3" xfId="30" builtinId="40" customBuiltin="1"/>
    <cellStyle name="60% - Accent3 2" xfId="271" xr:uid="{00000000-0005-0000-0000-0000AF000000}"/>
    <cellStyle name="60% - Accent3 3" xfId="238" xr:uid="{00000000-0005-0000-0000-0000B0000000}"/>
    <cellStyle name="60% - Accent4" xfId="34" builtinId="44" customBuiltin="1"/>
    <cellStyle name="60% - Accent4 2" xfId="272" xr:uid="{00000000-0005-0000-0000-0000B2000000}"/>
    <cellStyle name="60% - Accent4 3" xfId="242" xr:uid="{00000000-0005-0000-0000-0000B3000000}"/>
    <cellStyle name="60% - Accent5" xfId="38" builtinId="48" customBuiltin="1"/>
    <cellStyle name="60% - Accent5 2" xfId="273" xr:uid="{00000000-0005-0000-0000-0000B5000000}"/>
    <cellStyle name="60% - Accent5 3" xfId="246" xr:uid="{00000000-0005-0000-0000-0000B6000000}"/>
    <cellStyle name="60% - Accent6" xfId="42" builtinId="52" customBuiltin="1"/>
    <cellStyle name="60% - Accent6 2" xfId="274" xr:uid="{00000000-0005-0000-0000-0000B8000000}"/>
    <cellStyle name="60% - Accent6 3" xfId="250" xr:uid="{00000000-0005-0000-0000-0000B9000000}"/>
    <cellStyle name="Accent1" xfId="19" builtinId="29" customBuiltin="1"/>
    <cellStyle name="Accent1 2" xfId="275" xr:uid="{00000000-0005-0000-0000-0000BB000000}"/>
    <cellStyle name="Accent1 3" xfId="227" xr:uid="{00000000-0005-0000-0000-0000BC000000}"/>
    <cellStyle name="Accent2" xfId="23" builtinId="33" customBuiltin="1"/>
    <cellStyle name="Accent2 2" xfId="276" xr:uid="{00000000-0005-0000-0000-0000BE000000}"/>
    <cellStyle name="Accent2 3" xfId="231" xr:uid="{00000000-0005-0000-0000-0000BF000000}"/>
    <cellStyle name="Accent3" xfId="27" builtinId="37" customBuiltin="1"/>
    <cellStyle name="Accent3 2" xfId="277" xr:uid="{00000000-0005-0000-0000-0000C1000000}"/>
    <cellStyle name="Accent3 3" xfId="235" xr:uid="{00000000-0005-0000-0000-0000C2000000}"/>
    <cellStyle name="Accent4" xfId="31" builtinId="41" customBuiltin="1"/>
    <cellStyle name="Accent4 2" xfId="278" xr:uid="{00000000-0005-0000-0000-0000C4000000}"/>
    <cellStyle name="Accent4 3" xfId="239" xr:uid="{00000000-0005-0000-0000-0000C5000000}"/>
    <cellStyle name="Accent5" xfId="35" builtinId="45" customBuiltin="1"/>
    <cellStyle name="Accent5 2" xfId="279" xr:uid="{00000000-0005-0000-0000-0000C7000000}"/>
    <cellStyle name="Accent5 3" xfId="243" xr:uid="{00000000-0005-0000-0000-0000C8000000}"/>
    <cellStyle name="Accent6" xfId="39" builtinId="49" customBuiltin="1"/>
    <cellStyle name="Accent6 2" xfId="280" xr:uid="{00000000-0005-0000-0000-0000CA000000}"/>
    <cellStyle name="Accent6 3" xfId="247" xr:uid="{00000000-0005-0000-0000-0000CB000000}"/>
    <cellStyle name="Bad" xfId="9" builtinId="27" customBuiltin="1"/>
    <cellStyle name="Bad 2" xfId="281" xr:uid="{00000000-0005-0000-0000-0000CD000000}"/>
    <cellStyle name="Bad 3" xfId="217" xr:uid="{00000000-0005-0000-0000-0000CE000000}"/>
    <cellStyle name="Calculation" xfId="13" builtinId="22" customBuiltin="1"/>
    <cellStyle name="Calculation 2" xfId="282" xr:uid="{00000000-0005-0000-0000-0000D0000000}"/>
    <cellStyle name="Calculation 3" xfId="221" xr:uid="{00000000-0005-0000-0000-0000D1000000}"/>
    <cellStyle name="Check Cell" xfId="15" builtinId="23" customBuiltin="1"/>
    <cellStyle name="Check Cell 2" xfId="283" xr:uid="{00000000-0005-0000-0000-0000D3000000}"/>
    <cellStyle name="Check Cell 3" xfId="223" xr:uid="{00000000-0005-0000-0000-0000D4000000}"/>
    <cellStyle name="Comma [0] 2" xfId="285" xr:uid="{00000000-0005-0000-0000-0000D5000000}"/>
    <cellStyle name="Comma 2" xfId="284" xr:uid="{00000000-0005-0000-0000-0000D6000000}"/>
    <cellStyle name="Comma 2 2" xfId="650" xr:uid="{00000000-0005-0000-0000-0000D7000000}"/>
    <cellStyle name="Comma 2 3" xfId="316" xr:uid="{00000000-0005-0000-0000-0000D8000000}"/>
    <cellStyle name="Currency" xfId="1" builtinId="4"/>
    <cellStyle name="Currency [0] 2" xfId="287" xr:uid="{00000000-0005-0000-0000-0000DA000000}"/>
    <cellStyle name="Currency 10" xfId="377" xr:uid="{00000000-0005-0000-0000-0000DB000000}"/>
    <cellStyle name="Currency 10 2" xfId="548" xr:uid="{00000000-0005-0000-0000-0000DC000000}"/>
    <cellStyle name="Currency 10 2 2" xfId="882" xr:uid="{00000000-0005-0000-0000-0000DD000000}"/>
    <cellStyle name="Currency 11" xfId="305" xr:uid="{00000000-0005-0000-0000-0000DE000000}"/>
    <cellStyle name="Currency 12" xfId="653" xr:uid="{00000000-0005-0000-0000-0000DF000000}"/>
    <cellStyle name="Currency 13" xfId="656" xr:uid="{00000000-0005-0000-0000-0000E0000000}"/>
    <cellStyle name="Currency 14" xfId="966" xr:uid="{00000000-0005-0000-0000-0000E1000000}"/>
    <cellStyle name="Currency 15" xfId="967" xr:uid="{00000000-0005-0000-0000-0000E2000000}"/>
    <cellStyle name="Currency 16" xfId="968" xr:uid="{00000000-0005-0000-0000-0000E3000000}"/>
    <cellStyle name="Currency 17" xfId="969" xr:uid="{00000000-0005-0000-0000-0000E4000000}"/>
    <cellStyle name="Currency 18" xfId="970" xr:uid="{00000000-0005-0000-0000-0000E5000000}"/>
    <cellStyle name="Currency 19" xfId="211" xr:uid="{00000000-0005-0000-0000-0000E6000000}"/>
    <cellStyle name="Currency 2" xfId="78" xr:uid="{00000000-0005-0000-0000-0000E7000000}"/>
    <cellStyle name="Currency 2 2" xfId="593" xr:uid="{00000000-0005-0000-0000-0000E8000000}"/>
    <cellStyle name="Currency 2 3" xfId="582" xr:uid="{00000000-0005-0000-0000-0000E9000000}"/>
    <cellStyle name="Currency 2 4" xfId="651" xr:uid="{00000000-0005-0000-0000-0000EA000000}"/>
    <cellStyle name="Currency 2 5" xfId="309" xr:uid="{00000000-0005-0000-0000-0000EB000000}"/>
    <cellStyle name="Currency 2 6" xfId="286" xr:uid="{00000000-0005-0000-0000-0000EC000000}"/>
    <cellStyle name="Currency 20" xfId="971" xr:uid="{00000000-0005-0000-0000-0000ED000000}"/>
    <cellStyle name="Currency 21" xfId="972" xr:uid="{00000000-0005-0000-0000-0000EE000000}"/>
    <cellStyle name="Currency 22" xfId="977" xr:uid="{00000000-0005-0000-0000-0000EF000000}"/>
    <cellStyle name="Currency 3" xfId="306" xr:uid="{00000000-0005-0000-0000-0000F0000000}"/>
    <cellStyle name="Currency 3 2" xfId="584" xr:uid="{00000000-0005-0000-0000-0000F1000000}"/>
    <cellStyle name="Currency 4" xfId="314" xr:uid="{00000000-0005-0000-0000-0000F2000000}"/>
    <cellStyle name="Currency 5" xfId="321" xr:uid="{00000000-0005-0000-0000-0000F3000000}"/>
    <cellStyle name="Currency 5 2" xfId="588" xr:uid="{00000000-0005-0000-0000-0000F4000000}"/>
    <cellStyle name="Currency 6" xfId="323" xr:uid="{00000000-0005-0000-0000-0000F5000000}"/>
    <cellStyle name="Currency 6 10" xfId="662" xr:uid="{00000000-0005-0000-0000-0000F6000000}"/>
    <cellStyle name="Currency 6 2" xfId="327" xr:uid="{00000000-0005-0000-0000-0000F7000000}"/>
    <cellStyle name="Currency 6 2 2" xfId="340" xr:uid="{00000000-0005-0000-0000-0000F8000000}"/>
    <cellStyle name="Currency 6 2 2 2" xfId="365" xr:uid="{00000000-0005-0000-0000-0000F9000000}"/>
    <cellStyle name="Currency 6 2 2 2 2" xfId="419" xr:uid="{00000000-0005-0000-0000-0000FA000000}"/>
    <cellStyle name="Currency 6 2 2 2 2 2" xfId="522" xr:uid="{00000000-0005-0000-0000-0000FB000000}"/>
    <cellStyle name="Currency 6 2 2 2 2 2 2" xfId="856" xr:uid="{00000000-0005-0000-0000-0000FC000000}"/>
    <cellStyle name="Currency 6 2 2 2 2 3" xfId="753" xr:uid="{00000000-0005-0000-0000-0000FD000000}"/>
    <cellStyle name="Currency 6 2 2 2 3" xfId="470" xr:uid="{00000000-0005-0000-0000-0000FE000000}"/>
    <cellStyle name="Currency 6 2 2 2 3 2" xfId="804" xr:uid="{00000000-0005-0000-0000-0000FF000000}"/>
    <cellStyle name="Currency 6 2 2 2 4" xfId="640" xr:uid="{00000000-0005-0000-0000-000000010000}"/>
    <cellStyle name="Currency 6 2 2 2 4 2" xfId="957" xr:uid="{00000000-0005-0000-0000-000001010000}"/>
    <cellStyle name="Currency 6 2 2 2 5" xfId="701" xr:uid="{00000000-0005-0000-0000-000002010000}"/>
    <cellStyle name="Currency 6 2 2 3" xfId="398" xr:uid="{00000000-0005-0000-0000-000003010000}"/>
    <cellStyle name="Currency 6 2 2 3 2" xfId="501" xr:uid="{00000000-0005-0000-0000-000004010000}"/>
    <cellStyle name="Currency 6 2 2 3 2 2" xfId="835" xr:uid="{00000000-0005-0000-0000-000005010000}"/>
    <cellStyle name="Currency 6 2 2 3 3" xfId="618" xr:uid="{00000000-0005-0000-0000-000006010000}"/>
    <cellStyle name="Currency 6 2 2 3 3 2" xfId="936" xr:uid="{00000000-0005-0000-0000-000007010000}"/>
    <cellStyle name="Currency 6 2 2 3 4" xfId="732" xr:uid="{00000000-0005-0000-0000-000008010000}"/>
    <cellStyle name="Currency 6 2 2 4" xfId="448" xr:uid="{00000000-0005-0000-0000-000009010000}"/>
    <cellStyle name="Currency 6 2 2 4 2" xfId="782" xr:uid="{00000000-0005-0000-0000-00000A010000}"/>
    <cellStyle name="Currency 6 2 2 5" xfId="559" xr:uid="{00000000-0005-0000-0000-00000B010000}"/>
    <cellStyle name="Currency 6 2 2 5 2" xfId="892" xr:uid="{00000000-0005-0000-0000-00000C010000}"/>
    <cellStyle name="Currency 6 2 2 6" xfId="679" xr:uid="{00000000-0005-0000-0000-00000D010000}"/>
    <cellStyle name="Currency 6 2 3" xfId="354" xr:uid="{00000000-0005-0000-0000-00000E010000}"/>
    <cellStyle name="Currency 6 2 3 2" xfId="408" xr:uid="{00000000-0005-0000-0000-00000F010000}"/>
    <cellStyle name="Currency 6 2 3 2 2" xfId="511" xr:uid="{00000000-0005-0000-0000-000010010000}"/>
    <cellStyle name="Currency 6 2 3 2 2 2" xfId="845" xr:uid="{00000000-0005-0000-0000-000011010000}"/>
    <cellStyle name="Currency 6 2 3 2 3" xfId="629" xr:uid="{00000000-0005-0000-0000-000012010000}"/>
    <cellStyle name="Currency 6 2 3 2 3 2" xfId="946" xr:uid="{00000000-0005-0000-0000-000013010000}"/>
    <cellStyle name="Currency 6 2 3 2 4" xfId="742" xr:uid="{00000000-0005-0000-0000-000014010000}"/>
    <cellStyle name="Currency 6 2 3 3" xfId="459" xr:uid="{00000000-0005-0000-0000-000015010000}"/>
    <cellStyle name="Currency 6 2 3 3 2" xfId="793" xr:uid="{00000000-0005-0000-0000-000016010000}"/>
    <cellStyle name="Currency 6 2 3 4" xfId="574" xr:uid="{00000000-0005-0000-0000-000017010000}"/>
    <cellStyle name="Currency 6 2 3 4 2" xfId="908" xr:uid="{00000000-0005-0000-0000-000018010000}"/>
    <cellStyle name="Currency 6 2 3 5" xfId="690" xr:uid="{00000000-0005-0000-0000-000019010000}"/>
    <cellStyle name="Currency 6 2 4" xfId="387" xr:uid="{00000000-0005-0000-0000-00001A010000}"/>
    <cellStyle name="Currency 6 2 4 2" xfId="490" xr:uid="{00000000-0005-0000-0000-00001B010000}"/>
    <cellStyle name="Currency 6 2 4 2 2" xfId="824" xr:uid="{00000000-0005-0000-0000-00001C010000}"/>
    <cellStyle name="Currency 6 2 4 3" xfId="605" xr:uid="{00000000-0005-0000-0000-00001D010000}"/>
    <cellStyle name="Currency 6 2 4 3 2" xfId="925" xr:uid="{00000000-0005-0000-0000-00001E010000}"/>
    <cellStyle name="Currency 6 2 4 4" xfId="721" xr:uid="{00000000-0005-0000-0000-00001F010000}"/>
    <cellStyle name="Currency 6 2 5" xfId="437" xr:uid="{00000000-0005-0000-0000-000020010000}"/>
    <cellStyle name="Currency 6 2 5 2" xfId="771" xr:uid="{00000000-0005-0000-0000-000021010000}"/>
    <cellStyle name="Currency 6 2 6" xfId="540" xr:uid="{00000000-0005-0000-0000-000022010000}"/>
    <cellStyle name="Currency 6 2 6 2" xfId="874" xr:uid="{00000000-0005-0000-0000-000023010000}"/>
    <cellStyle name="Currency 6 2 7" xfId="668" xr:uid="{00000000-0005-0000-0000-000024010000}"/>
    <cellStyle name="Currency 6 3" xfId="335" xr:uid="{00000000-0005-0000-0000-000025010000}"/>
    <cellStyle name="Currency 6 3 2" xfId="359" xr:uid="{00000000-0005-0000-0000-000026010000}"/>
    <cellStyle name="Currency 6 3 2 2" xfId="413" xr:uid="{00000000-0005-0000-0000-000027010000}"/>
    <cellStyle name="Currency 6 3 2 2 2" xfId="516" xr:uid="{00000000-0005-0000-0000-000028010000}"/>
    <cellStyle name="Currency 6 3 2 2 2 2" xfId="850" xr:uid="{00000000-0005-0000-0000-000029010000}"/>
    <cellStyle name="Currency 6 3 2 2 3" xfId="634" xr:uid="{00000000-0005-0000-0000-00002A010000}"/>
    <cellStyle name="Currency 6 3 2 2 3 2" xfId="951" xr:uid="{00000000-0005-0000-0000-00002B010000}"/>
    <cellStyle name="Currency 6 3 2 2 4" xfId="747" xr:uid="{00000000-0005-0000-0000-00002C010000}"/>
    <cellStyle name="Currency 6 3 2 3" xfId="464" xr:uid="{00000000-0005-0000-0000-00002D010000}"/>
    <cellStyle name="Currency 6 3 2 3 2" xfId="798" xr:uid="{00000000-0005-0000-0000-00002E010000}"/>
    <cellStyle name="Currency 6 3 2 4" xfId="564" xr:uid="{00000000-0005-0000-0000-00002F010000}"/>
    <cellStyle name="Currency 6 3 2 4 2" xfId="898" xr:uid="{00000000-0005-0000-0000-000030010000}"/>
    <cellStyle name="Currency 6 3 2 5" xfId="695" xr:uid="{00000000-0005-0000-0000-000031010000}"/>
    <cellStyle name="Currency 6 3 3" xfId="392" xr:uid="{00000000-0005-0000-0000-000032010000}"/>
    <cellStyle name="Currency 6 3 3 2" xfId="495" xr:uid="{00000000-0005-0000-0000-000033010000}"/>
    <cellStyle name="Currency 6 3 3 2 2" xfId="829" xr:uid="{00000000-0005-0000-0000-000034010000}"/>
    <cellStyle name="Currency 6 3 3 3" xfId="580" xr:uid="{00000000-0005-0000-0000-000035010000}"/>
    <cellStyle name="Currency 6 3 3 3 2" xfId="914" xr:uid="{00000000-0005-0000-0000-000036010000}"/>
    <cellStyle name="Currency 6 3 3 4" xfId="726" xr:uid="{00000000-0005-0000-0000-000037010000}"/>
    <cellStyle name="Currency 6 3 4" xfId="442" xr:uid="{00000000-0005-0000-0000-000038010000}"/>
    <cellStyle name="Currency 6 3 4 2" xfId="612" xr:uid="{00000000-0005-0000-0000-000039010000}"/>
    <cellStyle name="Currency 6 3 4 2 2" xfId="930" xr:uid="{00000000-0005-0000-0000-00003A010000}"/>
    <cellStyle name="Currency 6 3 4 3" xfId="776" xr:uid="{00000000-0005-0000-0000-00003B010000}"/>
    <cellStyle name="Currency 6 3 5" xfId="546" xr:uid="{00000000-0005-0000-0000-00003C010000}"/>
    <cellStyle name="Currency 6 3 5 2" xfId="880" xr:uid="{00000000-0005-0000-0000-00003D010000}"/>
    <cellStyle name="Currency 6 3 6" xfId="673" xr:uid="{00000000-0005-0000-0000-00003E010000}"/>
    <cellStyle name="Currency 6 4" xfId="348" xr:uid="{00000000-0005-0000-0000-00003F010000}"/>
    <cellStyle name="Currency 6 4 2" xfId="402" xr:uid="{00000000-0005-0000-0000-000040010000}"/>
    <cellStyle name="Currency 6 4 2 2" xfId="505" xr:uid="{00000000-0005-0000-0000-000041010000}"/>
    <cellStyle name="Currency 6 4 2 2 2" xfId="839" xr:uid="{00000000-0005-0000-0000-000042010000}"/>
    <cellStyle name="Currency 6 4 2 3" xfId="623" xr:uid="{00000000-0005-0000-0000-000043010000}"/>
    <cellStyle name="Currency 6 4 2 3 2" xfId="940" xr:uid="{00000000-0005-0000-0000-000044010000}"/>
    <cellStyle name="Currency 6 4 2 4" xfId="736" xr:uid="{00000000-0005-0000-0000-000045010000}"/>
    <cellStyle name="Currency 6 4 3" xfId="453" xr:uid="{00000000-0005-0000-0000-000046010000}"/>
    <cellStyle name="Currency 6 4 3 2" xfId="787" xr:uid="{00000000-0005-0000-0000-000047010000}"/>
    <cellStyle name="Currency 6 4 4" xfId="553" xr:uid="{00000000-0005-0000-0000-000048010000}"/>
    <cellStyle name="Currency 6 4 4 2" xfId="886" xr:uid="{00000000-0005-0000-0000-000049010000}"/>
    <cellStyle name="Currency 6 4 5" xfId="684" xr:uid="{00000000-0005-0000-0000-00004A010000}"/>
    <cellStyle name="Currency 6 5" xfId="369" xr:uid="{00000000-0005-0000-0000-00004B010000}"/>
    <cellStyle name="Currency 6 5 2" xfId="423" xr:uid="{00000000-0005-0000-0000-00004C010000}"/>
    <cellStyle name="Currency 6 5 2 2" xfId="526" xr:uid="{00000000-0005-0000-0000-00004D010000}"/>
    <cellStyle name="Currency 6 5 2 2 2" xfId="860" xr:uid="{00000000-0005-0000-0000-00004E010000}"/>
    <cellStyle name="Currency 6 5 2 3" xfId="644" xr:uid="{00000000-0005-0000-0000-00004F010000}"/>
    <cellStyle name="Currency 6 5 2 3 2" xfId="961" xr:uid="{00000000-0005-0000-0000-000050010000}"/>
    <cellStyle name="Currency 6 5 2 4" xfId="757" xr:uid="{00000000-0005-0000-0000-000051010000}"/>
    <cellStyle name="Currency 6 5 3" xfId="474" xr:uid="{00000000-0005-0000-0000-000052010000}"/>
    <cellStyle name="Currency 6 5 3 2" xfId="808" xr:uid="{00000000-0005-0000-0000-000053010000}"/>
    <cellStyle name="Currency 6 5 4" xfId="568" xr:uid="{00000000-0005-0000-0000-000054010000}"/>
    <cellStyle name="Currency 6 5 4 2" xfId="902" xr:uid="{00000000-0005-0000-0000-000055010000}"/>
    <cellStyle name="Currency 6 5 5" xfId="705" xr:uid="{00000000-0005-0000-0000-000056010000}"/>
    <cellStyle name="Currency 6 6" xfId="373" xr:uid="{00000000-0005-0000-0000-000057010000}"/>
    <cellStyle name="Currency 6 6 2" xfId="427" xr:uid="{00000000-0005-0000-0000-000058010000}"/>
    <cellStyle name="Currency 6 6 2 2" xfId="530" xr:uid="{00000000-0005-0000-0000-000059010000}"/>
    <cellStyle name="Currency 6 6 2 2 2" xfId="864" xr:uid="{00000000-0005-0000-0000-00005A010000}"/>
    <cellStyle name="Currency 6 6 2 3" xfId="761" xr:uid="{00000000-0005-0000-0000-00005B010000}"/>
    <cellStyle name="Currency 6 6 3" xfId="478" xr:uid="{00000000-0005-0000-0000-00005C010000}"/>
    <cellStyle name="Currency 6 6 3 2" xfId="812" xr:uid="{00000000-0005-0000-0000-00005D010000}"/>
    <cellStyle name="Currency 6 6 4" xfId="648" xr:uid="{00000000-0005-0000-0000-00005E010000}"/>
    <cellStyle name="Currency 6 6 4 2" xfId="965" xr:uid="{00000000-0005-0000-0000-00005F010000}"/>
    <cellStyle name="Currency 6 6 5" xfId="709" xr:uid="{00000000-0005-0000-0000-000060010000}"/>
    <cellStyle name="Currency 6 7" xfId="381" xr:uid="{00000000-0005-0000-0000-000061010000}"/>
    <cellStyle name="Currency 6 7 2" xfId="484" xr:uid="{00000000-0005-0000-0000-000062010000}"/>
    <cellStyle name="Currency 6 7 2 2" xfId="818" xr:uid="{00000000-0005-0000-0000-000063010000}"/>
    <cellStyle name="Currency 6 7 3" xfId="599" xr:uid="{00000000-0005-0000-0000-000064010000}"/>
    <cellStyle name="Currency 6 7 3 2" xfId="919" xr:uid="{00000000-0005-0000-0000-000065010000}"/>
    <cellStyle name="Currency 6 7 4" xfId="715" xr:uid="{00000000-0005-0000-0000-000066010000}"/>
    <cellStyle name="Currency 6 8" xfId="431" xr:uid="{00000000-0005-0000-0000-000067010000}"/>
    <cellStyle name="Currency 6 8 2" xfId="765" xr:uid="{00000000-0005-0000-0000-000068010000}"/>
    <cellStyle name="Currency 6 9" xfId="534" xr:uid="{00000000-0005-0000-0000-000069010000}"/>
    <cellStyle name="Currency 6 9 2" xfId="868" xr:uid="{00000000-0005-0000-0000-00006A010000}"/>
    <cellStyle name="Currency 7" xfId="324" xr:uid="{00000000-0005-0000-0000-00006B010000}"/>
    <cellStyle name="Currency 7 2" xfId="336" xr:uid="{00000000-0005-0000-0000-00006C010000}"/>
    <cellStyle name="Currency 7 2 2" xfId="361" xr:uid="{00000000-0005-0000-0000-00006D010000}"/>
    <cellStyle name="Currency 7 2 2 2" xfId="415" xr:uid="{00000000-0005-0000-0000-00006E010000}"/>
    <cellStyle name="Currency 7 2 2 2 2" xfId="518" xr:uid="{00000000-0005-0000-0000-00006F010000}"/>
    <cellStyle name="Currency 7 2 2 2 2 2" xfId="852" xr:uid="{00000000-0005-0000-0000-000070010000}"/>
    <cellStyle name="Currency 7 2 2 2 3" xfId="749" xr:uid="{00000000-0005-0000-0000-000071010000}"/>
    <cellStyle name="Currency 7 2 2 3" xfId="466" xr:uid="{00000000-0005-0000-0000-000072010000}"/>
    <cellStyle name="Currency 7 2 2 3 2" xfId="800" xr:uid="{00000000-0005-0000-0000-000073010000}"/>
    <cellStyle name="Currency 7 2 2 4" xfId="636" xr:uid="{00000000-0005-0000-0000-000074010000}"/>
    <cellStyle name="Currency 7 2 2 4 2" xfId="953" xr:uid="{00000000-0005-0000-0000-000075010000}"/>
    <cellStyle name="Currency 7 2 2 5" xfId="697" xr:uid="{00000000-0005-0000-0000-000076010000}"/>
    <cellStyle name="Currency 7 2 3" xfId="394" xr:uid="{00000000-0005-0000-0000-000077010000}"/>
    <cellStyle name="Currency 7 2 3 2" xfId="497" xr:uid="{00000000-0005-0000-0000-000078010000}"/>
    <cellStyle name="Currency 7 2 3 2 2" xfId="831" xr:uid="{00000000-0005-0000-0000-000079010000}"/>
    <cellStyle name="Currency 7 2 3 3" xfId="614" xr:uid="{00000000-0005-0000-0000-00007A010000}"/>
    <cellStyle name="Currency 7 2 3 3 2" xfId="932" xr:uid="{00000000-0005-0000-0000-00007B010000}"/>
    <cellStyle name="Currency 7 2 3 4" xfId="728" xr:uid="{00000000-0005-0000-0000-00007C010000}"/>
    <cellStyle name="Currency 7 2 4" xfId="444" xr:uid="{00000000-0005-0000-0000-00007D010000}"/>
    <cellStyle name="Currency 7 2 4 2" xfId="778" xr:uid="{00000000-0005-0000-0000-00007E010000}"/>
    <cellStyle name="Currency 7 2 5" xfId="555" xr:uid="{00000000-0005-0000-0000-00007F010000}"/>
    <cellStyle name="Currency 7 2 5 2" xfId="888" xr:uid="{00000000-0005-0000-0000-000080010000}"/>
    <cellStyle name="Currency 7 2 6" xfId="675" xr:uid="{00000000-0005-0000-0000-000081010000}"/>
    <cellStyle name="Currency 7 3" xfId="350" xr:uid="{00000000-0005-0000-0000-000082010000}"/>
    <cellStyle name="Currency 7 3 2" xfId="404" xr:uid="{00000000-0005-0000-0000-000083010000}"/>
    <cellStyle name="Currency 7 3 2 2" xfId="507" xr:uid="{00000000-0005-0000-0000-000084010000}"/>
    <cellStyle name="Currency 7 3 2 2 2" xfId="841" xr:uid="{00000000-0005-0000-0000-000085010000}"/>
    <cellStyle name="Currency 7 3 2 3" xfId="625" xr:uid="{00000000-0005-0000-0000-000086010000}"/>
    <cellStyle name="Currency 7 3 2 3 2" xfId="942" xr:uid="{00000000-0005-0000-0000-000087010000}"/>
    <cellStyle name="Currency 7 3 2 4" xfId="738" xr:uid="{00000000-0005-0000-0000-000088010000}"/>
    <cellStyle name="Currency 7 3 3" xfId="455" xr:uid="{00000000-0005-0000-0000-000089010000}"/>
    <cellStyle name="Currency 7 3 3 2" xfId="789" xr:uid="{00000000-0005-0000-0000-00008A010000}"/>
    <cellStyle name="Currency 7 3 4" xfId="570" xr:uid="{00000000-0005-0000-0000-00008B010000}"/>
    <cellStyle name="Currency 7 3 4 2" xfId="904" xr:uid="{00000000-0005-0000-0000-00008C010000}"/>
    <cellStyle name="Currency 7 3 5" xfId="686" xr:uid="{00000000-0005-0000-0000-00008D010000}"/>
    <cellStyle name="Currency 7 4" xfId="383" xr:uid="{00000000-0005-0000-0000-00008E010000}"/>
    <cellStyle name="Currency 7 4 2" xfId="486" xr:uid="{00000000-0005-0000-0000-00008F010000}"/>
    <cellStyle name="Currency 7 4 2 2" xfId="820" xr:uid="{00000000-0005-0000-0000-000090010000}"/>
    <cellStyle name="Currency 7 4 3" xfId="601" xr:uid="{00000000-0005-0000-0000-000091010000}"/>
    <cellStyle name="Currency 7 4 3 2" xfId="921" xr:uid="{00000000-0005-0000-0000-000092010000}"/>
    <cellStyle name="Currency 7 4 4" xfId="717" xr:uid="{00000000-0005-0000-0000-000093010000}"/>
    <cellStyle name="Currency 7 5" xfId="433" xr:uid="{00000000-0005-0000-0000-000094010000}"/>
    <cellStyle name="Currency 7 5 2" xfId="767" xr:uid="{00000000-0005-0000-0000-000095010000}"/>
    <cellStyle name="Currency 7 6" xfId="536" xr:uid="{00000000-0005-0000-0000-000096010000}"/>
    <cellStyle name="Currency 7 6 2" xfId="870" xr:uid="{00000000-0005-0000-0000-000097010000}"/>
    <cellStyle name="Currency 7 7" xfId="664" xr:uid="{00000000-0005-0000-0000-000098010000}"/>
    <cellStyle name="Currency 8" xfId="330" xr:uid="{00000000-0005-0000-0000-000099010000}"/>
    <cellStyle name="Currency 8 2" xfId="560" xr:uid="{00000000-0005-0000-0000-00009A010000}"/>
    <cellStyle name="Currency 8 2 2" xfId="894" xr:uid="{00000000-0005-0000-0000-00009B010000}"/>
    <cellStyle name="Currency 8 3" xfId="576" xr:uid="{00000000-0005-0000-0000-00009C010000}"/>
    <cellStyle name="Currency 8 3 2" xfId="910" xr:uid="{00000000-0005-0000-0000-00009D010000}"/>
    <cellStyle name="Currency 8 4" xfId="608" xr:uid="{00000000-0005-0000-0000-00009E010000}"/>
    <cellStyle name="Currency 8 5" xfId="542" xr:uid="{00000000-0005-0000-0000-00009F010000}"/>
    <cellStyle name="Currency 8 5 2" xfId="876" xr:uid="{00000000-0005-0000-0000-0000A0010000}"/>
    <cellStyle name="Currency 9" xfId="343" xr:uid="{00000000-0005-0000-0000-0000A1010000}"/>
    <cellStyle name="Explanatory Text" xfId="17" builtinId="53" customBuiltin="1"/>
    <cellStyle name="Explanatory Text 2" xfId="288" xr:uid="{00000000-0005-0000-0000-0000A3010000}"/>
    <cellStyle name="Explanatory Text 3" xfId="225" xr:uid="{00000000-0005-0000-0000-0000A4010000}"/>
    <cellStyle name="Followed Hyperlink" xfId="980" builtinId="9" customBuiltin="1"/>
    <cellStyle name="Good" xfId="8" builtinId="26" customBuiltin="1"/>
    <cellStyle name="Good 2" xfId="289" xr:uid="{00000000-0005-0000-0000-0000A6010000}"/>
    <cellStyle name="Good 3" xfId="216" xr:uid="{00000000-0005-0000-0000-0000A7010000}"/>
    <cellStyle name="Heading 1" xfId="4" builtinId="16" customBuiltin="1"/>
    <cellStyle name="Heading 1 2" xfId="290" xr:uid="{00000000-0005-0000-0000-0000A9010000}"/>
    <cellStyle name="Heading 1 3" xfId="212" xr:uid="{00000000-0005-0000-0000-0000AA010000}"/>
    <cellStyle name="Heading 2" xfId="5" builtinId="17" customBuiltin="1"/>
    <cellStyle name="Heading 2 2" xfId="291" xr:uid="{00000000-0005-0000-0000-0000AC010000}"/>
    <cellStyle name="Heading 2 3" xfId="213" xr:uid="{00000000-0005-0000-0000-0000AD010000}"/>
    <cellStyle name="Heading 3" xfId="6" builtinId="18" customBuiltin="1"/>
    <cellStyle name="Heading 3 2" xfId="292" xr:uid="{00000000-0005-0000-0000-0000AF010000}"/>
    <cellStyle name="Heading 3 3" xfId="214" xr:uid="{00000000-0005-0000-0000-0000B0010000}"/>
    <cellStyle name="Heading 4" xfId="7" builtinId="19" customBuiltin="1"/>
    <cellStyle name="Heading 4 2" xfId="293" xr:uid="{00000000-0005-0000-0000-0000B2010000}"/>
    <cellStyle name="Heading 4 3" xfId="215" xr:uid="{00000000-0005-0000-0000-0000B3010000}"/>
    <cellStyle name="Hyperlink" xfId="2" builtinId="8" customBuiltin="1"/>
    <cellStyle name="Hyperlink 2" xfId="47" xr:uid="{00000000-0005-0000-0000-0000B5010000}"/>
    <cellStyle name="Hyperlink 3" xfId="45" xr:uid="{00000000-0005-0000-0000-0000B6010000}"/>
    <cellStyle name="Input" xfId="11" builtinId="20" customBuiltin="1"/>
    <cellStyle name="Input 2" xfId="294" xr:uid="{00000000-0005-0000-0000-0000B8010000}"/>
    <cellStyle name="Input 3" xfId="219" xr:uid="{00000000-0005-0000-0000-0000B9010000}"/>
    <cellStyle name="Linked Cell" xfId="14" builtinId="24" customBuiltin="1"/>
    <cellStyle name="Linked Cell 2" xfId="295" xr:uid="{00000000-0005-0000-0000-0000BB010000}"/>
    <cellStyle name="Linked Cell 3" xfId="222" xr:uid="{00000000-0005-0000-0000-0000BC010000}"/>
    <cellStyle name="Neutral" xfId="10" builtinId="28" customBuiltin="1"/>
    <cellStyle name="Neutral 2" xfId="296" xr:uid="{00000000-0005-0000-0000-0000BE010000}"/>
    <cellStyle name="Neutral 3" xfId="218" xr:uid="{00000000-0005-0000-0000-0000BF010000}"/>
    <cellStyle name="Normal" xfId="0" builtinId="0" customBuiltin="1"/>
    <cellStyle name="Normal 10" xfId="43" xr:uid="{00000000-0005-0000-0000-0000C1010000}"/>
    <cellStyle name="Normal 10 2" xfId="355" xr:uid="{00000000-0005-0000-0000-0000C2010000}"/>
    <cellStyle name="Normal 10 2 2" xfId="409" xr:uid="{00000000-0005-0000-0000-0000C3010000}"/>
    <cellStyle name="Normal 10 2 2 2" xfId="512" xr:uid="{00000000-0005-0000-0000-0000C4010000}"/>
    <cellStyle name="Normal 10 2 2 2 2" xfId="846" xr:uid="{00000000-0005-0000-0000-0000C5010000}"/>
    <cellStyle name="Normal 10 2 2 3" xfId="743" xr:uid="{00000000-0005-0000-0000-0000C6010000}"/>
    <cellStyle name="Normal 10 2 3" xfId="460" xr:uid="{00000000-0005-0000-0000-0000C7010000}"/>
    <cellStyle name="Normal 10 2 3 2" xfId="794" xr:uid="{00000000-0005-0000-0000-0000C8010000}"/>
    <cellStyle name="Normal 10 2 4" xfId="630" xr:uid="{00000000-0005-0000-0000-0000C9010000}"/>
    <cellStyle name="Normal 10 2 4 2" xfId="947" xr:uid="{00000000-0005-0000-0000-0000CA010000}"/>
    <cellStyle name="Normal 10 2 5" xfId="691" xr:uid="{00000000-0005-0000-0000-0000CB010000}"/>
    <cellStyle name="Normal 10 3" xfId="388" xr:uid="{00000000-0005-0000-0000-0000CC010000}"/>
    <cellStyle name="Normal 10 3 2" xfId="491" xr:uid="{00000000-0005-0000-0000-0000CD010000}"/>
    <cellStyle name="Normal 10 3 2 2" xfId="825" xr:uid="{00000000-0005-0000-0000-0000CE010000}"/>
    <cellStyle name="Normal 10 3 3" xfId="606" xr:uid="{00000000-0005-0000-0000-0000CF010000}"/>
    <cellStyle name="Normal 10 3 3 2" xfId="926" xr:uid="{00000000-0005-0000-0000-0000D0010000}"/>
    <cellStyle name="Normal 10 3 4" xfId="722" xr:uid="{00000000-0005-0000-0000-0000D1010000}"/>
    <cellStyle name="Normal 10 4" xfId="438" xr:uid="{00000000-0005-0000-0000-0000D2010000}"/>
    <cellStyle name="Normal 10 4 2" xfId="772" xr:uid="{00000000-0005-0000-0000-0000D3010000}"/>
    <cellStyle name="Normal 10 5" xfId="549" xr:uid="{00000000-0005-0000-0000-0000D4010000}"/>
    <cellStyle name="Normal 10 6" xfId="669" xr:uid="{00000000-0005-0000-0000-0000D5010000}"/>
    <cellStyle name="Normal 10 7" xfId="328" xr:uid="{00000000-0005-0000-0000-0000D6010000}"/>
    <cellStyle name="Normal 11" xfId="342" xr:uid="{00000000-0005-0000-0000-0000D7010000}"/>
    <cellStyle name="Normal 11 2" xfId="619" xr:uid="{00000000-0005-0000-0000-0000D8010000}"/>
    <cellStyle name="Normal 11 3" xfId="547" xr:uid="{00000000-0005-0000-0000-0000D9010000}"/>
    <cellStyle name="Normal 11 3 2" xfId="881" xr:uid="{00000000-0005-0000-0000-0000DA010000}"/>
    <cellStyle name="Normal 12" xfId="341" xr:uid="{00000000-0005-0000-0000-0000DB010000}"/>
    <cellStyle name="Normal 12 2" xfId="376" xr:uid="{00000000-0005-0000-0000-0000DC010000}"/>
    <cellStyle name="Normal 12 2 2" xfId="481" xr:uid="{00000000-0005-0000-0000-0000DD010000}"/>
    <cellStyle name="Normal 12 2 2 2" xfId="815" xr:uid="{00000000-0005-0000-0000-0000DE010000}"/>
    <cellStyle name="Normal 12 2 3" xfId="712" xr:uid="{00000000-0005-0000-0000-0000DF010000}"/>
    <cellStyle name="Normal 12 3" xfId="449" xr:uid="{00000000-0005-0000-0000-0000E0010000}"/>
    <cellStyle name="Normal 12 3 2" xfId="783" xr:uid="{00000000-0005-0000-0000-0000E1010000}"/>
    <cellStyle name="Normal 12 4" xfId="581" xr:uid="{00000000-0005-0000-0000-0000E2010000}"/>
    <cellStyle name="Normal 12 4 2" xfId="915" xr:uid="{00000000-0005-0000-0000-0000E3010000}"/>
    <cellStyle name="Normal 12 5" xfId="680" xr:uid="{00000000-0005-0000-0000-0000E4010000}"/>
    <cellStyle name="Normal 13" xfId="374" xr:uid="{00000000-0005-0000-0000-0000E5010000}"/>
    <cellStyle name="Normal 13 2" xfId="479" xr:uid="{00000000-0005-0000-0000-0000E6010000}"/>
    <cellStyle name="Normal 13 2 2" xfId="813" xr:uid="{00000000-0005-0000-0000-0000E7010000}"/>
    <cellStyle name="Normal 13 3" xfId="710" xr:uid="{00000000-0005-0000-0000-0000E8010000}"/>
    <cellStyle name="Normal 14" xfId="304" xr:uid="{00000000-0005-0000-0000-0000E9010000}"/>
    <cellStyle name="Normal 15" xfId="303" xr:uid="{00000000-0005-0000-0000-0000EA010000}"/>
    <cellStyle name="Normal 15 2" xfId="658" xr:uid="{00000000-0005-0000-0000-0000EB010000}"/>
    <cellStyle name="Normal 16" xfId="655" xr:uid="{00000000-0005-0000-0000-0000EC010000}"/>
    <cellStyle name="Normal 17" xfId="654" xr:uid="{00000000-0005-0000-0000-0000ED010000}"/>
    <cellStyle name="Normal 18" xfId="210" xr:uid="{00000000-0005-0000-0000-0000EE010000}"/>
    <cellStyle name="Normal 19" xfId="976" xr:uid="{00000000-0005-0000-0000-0000EF010000}"/>
    <cellStyle name="Normal 2" xfId="44" xr:uid="{00000000-0005-0000-0000-0000F0010000}"/>
    <cellStyle name="Normal 2 2" xfId="48" xr:uid="{00000000-0005-0000-0000-0000F1010000}"/>
    <cellStyle name="Normal 2 2 2" xfId="135" xr:uid="{00000000-0005-0000-0000-0000F2010000}"/>
    <cellStyle name="Normal 2 2 2 2" xfId="319" xr:uid="{00000000-0005-0000-0000-0000F3010000}"/>
    <cellStyle name="Normal 2 2 3" xfId="315" xr:uid="{00000000-0005-0000-0000-0000F4010000}"/>
    <cellStyle name="Normal 2 2 4" xfId="253" xr:uid="{00000000-0005-0000-0000-0000F5010000}"/>
    <cellStyle name="Normal 2 3" xfId="209" xr:uid="{00000000-0005-0000-0000-0000F6010000}"/>
    <cellStyle name="Normal 2 3 2" xfId="310" xr:uid="{00000000-0005-0000-0000-0000F7010000}"/>
    <cellStyle name="Normal 2 3 3" xfId="592" xr:uid="{00000000-0005-0000-0000-0000F8010000}"/>
    <cellStyle name="Normal 2 3 4" xfId="589" xr:uid="{00000000-0005-0000-0000-0000F9010000}"/>
    <cellStyle name="Normal 2 3 5" xfId="255" xr:uid="{00000000-0005-0000-0000-0000FA010000}"/>
    <cellStyle name="Normal 2 4" xfId="317" xr:uid="{00000000-0005-0000-0000-0000FB010000}"/>
    <cellStyle name="Normal 2 4 2" xfId="591" xr:uid="{00000000-0005-0000-0000-0000FC010000}"/>
    <cellStyle name="Normal 2 5" xfId="252" xr:uid="{00000000-0005-0000-0000-0000FD010000}"/>
    <cellStyle name="Normal 3" xfId="50" xr:uid="{00000000-0005-0000-0000-0000FE010000}"/>
    <cellStyle name="Normal 3 2" xfId="137" xr:uid="{00000000-0005-0000-0000-0000FF010000}"/>
    <cellStyle name="Normal 3 2 2" xfId="594" xr:uid="{00000000-0005-0000-0000-000000020000}"/>
    <cellStyle name="Normal 3 2 3" xfId="318" xr:uid="{00000000-0005-0000-0000-000001020000}"/>
    <cellStyle name="Normal 3 3" xfId="649" xr:uid="{00000000-0005-0000-0000-000002020000}"/>
    <cellStyle name="Normal 3 4" xfId="311" xr:uid="{00000000-0005-0000-0000-000003020000}"/>
    <cellStyle name="Normal 3 5" xfId="256" xr:uid="{00000000-0005-0000-0000-000004020000}"/>
    <cellStyle name="Normal 3 6" xfId="975" xr:uid="{00000000-0005-0000-0000-000005020000}"/>
    <cellStyle name="Normal 3 7" xfId="978" xr:uid="{00000000-0005-0000-0000-000006020000}"/>
    <cellStyle name="Normal 4" xfId="46" xr:uid="{00000000-0005-0000-0000-000007020000}"/>
    <cellStyle name="Normal 4 2" xfId="134" xr:uid="{00000000-0005-0000-0000-000008020000}"/>
    <cellStyle name="Normal 4 3" xfId="974" xr:uid="{00000000-0005-0000-0000-000009020000}"/>
    <cellStyle name="Normal 4 4" xfId="973" xr:uid="{00000000-0005-0000-0000-00000A020000}"/>
    <cellStyle name="Normal 5" xfId="64" xr:uid="{00000000-0005-0000-0000-00000B020000}"/>
    <cellStyle name="Normal 5 10" xfId="531" xr:uid="{00000000-0005-0000-0000-00000C020000}"/>
    <cellStyle name="Normal 5 10 2" xfId="865" xr:uid="{00000000-0005-0000-0000-00000D020000}"/>
    <cellStyle name="Normal 5 11" xfId="659" xr:uid="{00000000-0005-0000-0000-00000E020000}"/>
    <cellStyle name="Normal 5 2" xfId="151" xr:uid="{00000000-0005-0000-0000-00000F020000}"/>
    <cellStyle name="Normal 5 2 10" xfId="661" xr:uid="{00000000-0005-0000-0000-000010020000}"/>
    <cellStyle name="Normal 5 2 2" xfId="326" xr:uid="{00000000-0005-0000-0000-000011020000}"/>
    <cellStyle name="Normal 5 2 2 2" xfId="339" xr:uid="{00000000-0005-0000-0000-000012020000}"/>
    <cellStyle name="Normal 5 2 2 2 2" xfId="364" xr:uid="{00000000-0005-0000-0000-000013020000}"/>
    <cellStyle name="Normal 5 2 2 2 2 2" xfId="418" xr:uid="{00000000-0005-0000-0000-000014020000}"/>
    <cellStyle name="Normal 5 2 2 2 2 2 2" xfId="521" xr:uid="{00000000-0005-0000-0000-000015020000}"/>
    <cellStyle name="Normal 5 2 2 2 2 2 2 2" xfId="855" xr:uid="{00000000-0005-0000-0000-000016020000}"/>
    <cellStyle name="Normal 5 2 2 2 2 2 3" xfId="752" xr:uid="{00000000-0005-0000-0000-000017020000}"/>
    <cellStyle name="Normal 5 2 2 2 2 3" xfId="469" xr:uid="{00000000-0005-0000-0000-000018020000}"/>
    <cellStyle name="Normal 5 2 2 2 2 3 2" xfId="803" xr:uid="{00000000-0005-0000-0000-000019020000}"/>
    <cellStyle name="Normal 5 2 2 2 2 4" xfId="639" xr:uid="{00000000-0005-0000-0000-00001A020000}"/>
    <cellStyle name="Normal 5 2 2 2 2 4 2" xfId="956" xr:uid="{00000000-0005-0000-0000-00001B020000}"/>
    <cellStyle name="Normal 5 2 2 2 2 5" xfId="700" xr:uid="{00000000-0005-0000-0000-00001C020000}"/>
    <cellStyle name="Normal 5 2 2 2 3" xfId="397" xr:uid="{00000000-0005-0000-0000-00001D020000}"/>
    <cellStyle name="Normal 5 2 2 2 3 2" xfId="500" xr:uid="{00000000-0005-0000-0000-00001E020000}"/>
    <cellStyle name="Normal 5 2 2 2 3 2 2" xfId="834" xr:uid="{00000000-0005-0000-0000-00001F020000}"/>
    <cellStyle name="Normal 5 2 2 2 3 3" xfId="617" xr:uid="{00000000-0005-0000-0000-000020020000}"/>
    <cellStyle name="Normal 5 2 2 2 3 3 2" xfId="935" xr:uid="{00000000-0005-0000-0000-000021020000}"/>
    <cellStyle name="Normal 5 2 2 2 3 4" xfId="731" xr:uid="{00000000-0005-0000-0000-000022020000}"/>
    <cellStyle name="Normal 5 2 2 2 4" xfId="447" xr:uid="{00000000-0005-0000-0000-000023020000}"/>
    <cellStyle name="Normal 5 2 2 2 4 2" xfId="781" xr:uid="{00000000-0005-0000-0000-000024020000}"/>
    <cellStyle name="Normal 5 2 2 2 5" xfId="558" xr:uid="{00000000-0005-0000-0000-000025020000}"/>
    <cellStyle name="Normal 5 2 2 2 5 2" xfId="891" xr:uid="{00000000-0005-0000-0000-000026020000}"/>
    <cellStyle name="Normal 5 2 2 2 6" xfId="678" xr:uid="{00000000-0005-0000-0000-000027020000}"/>
    <cellStyle name="Normal 5 2 2 3" xfId="353" xr:uid="{00000000-0005-0000-0000-000028020000}"/>
    <cellStyle name="Normal 5 2 2 3 2" xfId="407" xr:uid="{00000000-0005-0000-0000-000029020000}"/>
    <cellStyle name="Normal 5 2 2 3 2 2" xfId="510" xr:uid="{00000000-0005-0000-0000-00002A020000}"/>
    <cellStyle name="Normal 5 2 2 3 2 2 2" xfId="844" xr:uid="{00000000-0005-0000-0000-00002B020000}"/>
    <cellStyle name="Normal 5 2 2 3 2 3" xfId="628" xr:uid="{00000000-0005-0000-0000-00002C020000}"/>
    <cellStyle name="Normal 5 2 2 3 2 3 2" xfId="945" xr:uid="{00000000-0005-0000-0000-00002D020000}"/>
    <cellStyle name="Normal 5 2 2 3 2 4" xfId="741" xr:uid="{00000000-0005-0000-0000-00002E020000}"/>
    <cellStyle name="Normal 5 2 2 3 3" xfId="458" xr:uid="{00000000-0005-0000-0000-00002F020000}"/>
    <cellStyle name="Normal 5 2 2 3 3 2" xfId="792" xr:uid="{00000000-0005-0000-0000-000030020000}"/>
    <cellStyle name="Normal 5 2 2 3 4" xfId="573" xr:uid="{00000000-0005-0000-0000-000031020000}"/>
    <cellStyle name="Normal 5 2 2 3 4 2" xfId="907" xr:uid="{00000000-0005-0000-0000-000032020000}"/>
    <cellStyle name="Normal 5 2 2 3 5" xfId="689" xr:uid="{00000000-0005-0000-0000-000033020000}"/>
    <cellStyle name="Normal 5 2 2 4" xfId="386" xr:uid="{00000000-0005-0000-0000-000034020000}"/>
    <cellStyle name="Normal 5 2 2 4 2" xfId="489" xr:uid="{00000000-0005-0000-0000-000035020000}"/>
    <cellStyle name="Normal 5 2 2 4 2 2" xfId="823" xr:uid="{00000000-0005-0000-0000-000036020000}"/>
    <cellStyle name="Normal 5 2 2 4 3" xfId="604" xr:uid="{00000000-0005-0000-0000-000037020000}"/>
    <cellStyle name="Normal 5 2 2 4 3 2" xfId="924" xr:uid="{00000000-0005-0000-0000-000038020000}"/>
    <cellStyle name="Normal 5 2 2 4 4" xfId="720" xr:uid="{00000000-0005-0000-0000-000039020000}"/>
    <cellStyle name="Normal 5 2 2 5" xfId="436" xr:uid="{00000000-0005-0000-0000-00003A020000}"/>
    <cellStyle name="Normal 5 2 2 5 2" xfId="770" xr:uid="{00000000-0005-0000-0000-00003B020000}"/>
    <cellStyle name="Normal 5 2 2 6" xfId="539" xr:uid="{00000000-0005-0000-0000-00003C020000}"/>
    <cellStyle name="Normal 5 2 2 6 2" xfId="873" xr:uid="{00000000-0005-0000-0000-00003D020000}"/>
    <cellStyle name="Normal 5 2 2 7" xfId="667" xr:uid="{00000000-0005-0000-0000-00003E020000}"/>
    <cellStyle name="Normal 5 2 3" xfId="334" xr:uid="{00000000-0005-0000-0000-00003F020000}"/>
    <cellStyle name="Normal 5 2 3 2" xfId="358" xr:uid="{00000000-0005-0000-0000-000040020000}"/>
    <cellStyle name="Normal 5 2 3 2 2" xfId="412" xr:uid="{00000000-0005-0000-0000-000041020000}"/>
    <cellStyle name="Normal 5 2 3 2 2 2" xfId="515" xr:uid="{00000000-0005-0000-0000-000042020000}"/>
    <cellStyle name="Normal 5 2 3 2 2 2 2" xfId="849" xr:uid="{00000000-0005-0000-0000-000043020000}"/>
    <cellStyle name="Normal 5 2 3 2 2 3" xfId="633" xr:uid="{00000000-0005-0000-0000-000044020000}"/>
    <cellStyle name="Normal 5 2 3 2 2 3 2" xfId="950" xr:uid="{00000000-0005-0000-0000-000045020000}"/>
    <cellStyle name="Normal 5 2 3 2 2 4" xfId="746" xr:uid="{00000000-0005-0000-0000-000046020000}"/>
    <cellStyle name="Normal 5 2 3 2 3" xfId="463" xr:uid="{00000000-0005-0000-0000-000047020000}"/>
    <cellStyle name="Normal 5 2 3 2 3 2" xfId="797" xr:uid="{00000000-0005-0000-0000-000048020000}"/>
    <cellStyle name="Normal 5 2 3 2 4" xfId="563" xr:uid="{00000000-0005-0000-0000-000049020000}"/>
    <cellStyle name="Normal 5 2 3 2 4 2" xfId="897" xr:uid="{00000000-0005-0000-0000-00004A020000}"/>
    <cellStyle name="Normal 5 2 3 2 5" xfId="694" xr:uid="{00000000-0005-0000-0000-00004B020000}"/>
    <cellStyle name="Normal 5 2 3 3" xfId="391" xr:uid="{00000000-0005-0000-0000-00004C020000}"/>
    <cellStyle name="Normal 5 2 3 3 2" xfId="494" xr:uid="{00000000-0005-0000-0000-00004D020000}"/>
    <cellStyle name="Normal 5 2 3 3 2 2" xfId="828" xr:uid="{00000000-0005-0000-0000-00004E020000}"/>
    <cellStyle name="Normal 5 2 3 3 3" xfId="579" xr:uid="{00000000-0005-0000-0000-00004F020000}"/>
    <cellStyle name="Normal 5 2 3 3 3 2" xfId="913" xr:uid="{00000000-0005-0000-0000-000050020000}"/>
    <cellStyle name="Normal 5 2 3 3 4" xfId="725" xr:uid="{00000000-0005-0000-0000-000051020000}"/>
    <cellStyle name="Normal 5 2 3 4" xfId="441" xr:uid="{00000000-0005-0000-0000-000052020000}"/>
    <cellStyle name="Normal 5 2 3 4 2" xfId="611" xr:uid="{00000000-0005-0000-0000-000053020000}"/>
    <cellStyle name="Normal 5 2 3 4 2 2" xfId="929" xr:uid="{00000000-0005-0000-0000-000054020000}"/>
    <cellStyle name="Normal 5 2 3 4 3" xfId="775" xr:uid="{00000000-0005-0000-0000-000055020000}"/>
    <cellStyle name="Normal 5 2 3 5" xfId="545" xr:uid="{00000000-0005-0000-0000-000056020000}"/>
    <cellStyle name="Normal 5 2 3 5 2" xfId="879" xr:uid="{00000000-0005-0000-0000-000057020000}"/>
    <cellStyle name="Normal 5 2 3 6" xfId="672" xr:uid="{00000000-0005-0000-0000-000058020000}"/>
    <cellStyle name="Normal 5 2 4" xfId="347" xr:uid="{00000000-0005-0000-0000-000059020000}"/>
    <cellStyle name="Normal 5 2 4 2" xfId="401" xr:uid="{00000000-0005-0000-0000-00005A020000}"/>
    <cellStyle name="Normal 5 2 4 2 2" xfId="504" xr:uid="{00000000-0005-0000-0000-00005B020000}"/>
    <cellStyle name="Normal 5 2 4 2 2 2" xfId="838" xr:uid="{00000000-0005-0000-0000-00005C020000}"/>
    <cellStyle name="Normal 5 2 4 2 3" xfId="622" xr:uid="{00000000-0005-0000-0000-00005D020000}"/>
    <cellStyle name="Normal 5 2 4 2 3 2" xfId="939" xr:uid="{00000000-0005-0000-0000-00005E020000}"/>
    <cellStyle name="Normal 5 2 4 2 4" xfId="735" xr:uid="{00000000-0005-0000-0000-00005F020000}"/>
    <cellStyle name="Normal 5 2 4 3" xfId="452" xr:uid="{00000000-0005-0000-0000-000060020000}"/>
    <cellStyle name="Normal 5 2 4 3 2" xfId="786" xr:uid="{00000000-0005-0000-0000-000061020000}"/>
    <cellStyle name="Normal 5 2 4 4" xfId="552" xr:uid="{00000000-0005-0000-0000-000062020000}"/>
    <cellStyle name="Normal 5 2 4 4 2" xfId="885" xr:uid="{00000000-0005-0000-0000-000063020000}"/>
    <cellStyle name="Normal 5 2 4 5" xfId="683" xr:uid="{00000000-0005-0000-0000-000064020000}"/>
    <cellStyle name="Normal 5 2 5" xfId="368" xr:uid="{00000000-0005-0000-0000-000065020000}"/>
    <cellStyle name="Normal 5 2 5 2" xfId="422" xr:uid="{00000000-0005-0000-0000-000066020000}"/>
    <cellStyle name="Normal 5 2 5 2 2" xfId="525" xr:uid="{00000000-0005-0000-0000-000067020000}"/>
    <cellStyle name="Normal 5 2 5 2 2 2" xfId="859" xr:uid="{00000000-0005-0000-0000-000068020000}"/>
    <cellStyle name="Normal 5 2 5 2 3" xfId="643" xr:uid="{00000000-0005-0000-0000-000069020000}"/>
    <cellStyle name="Normal 5 2 5 2 3 2" xfId="960" xr:uid="{00000000-0005-0000-0000-00006A020000}"/>
    <cellStyle name="Normal 5 2 5 2 4" xfId="756" xr:uid="{00000000-0005-0000-0000-00006B020000}"/>
    <cellStyle name="Normal 5 2 5 3" xfId="473" xr:uid="{00000000-0005-0000-0000-00006C020000}"/>
    <cellStyle name="Normal 5 2 5 3 2" xfId="807" xr:uid="{00000000-0005-0000-0000-00006D020000}"/>
    <cellStyle name="Normal 5 2 5 4" xfId="567" xr:uid="{00000000-0005-0000-0000-00006E020000}"/>
    <cellStyle name="Normal 5 2 5 4 2" xfId="901" xr:uid="{00000000-0005-0000-0000-00006F020000}"/>
    <cellStyle name="Normal 5 2 5 5" xfId="704" xr:uid="{00000000-0005-0000-0000-000070020000}"/>
    <cellStyle name="Normal 5 2 6" xfId="372" xr:uid="{00000000-0005-0000-0000-000071020000}"/>
    <cellStyle name="Normal 5 2 6 2" xfId="426" xr:uid="{00000000-0005-0000-0000-000072020000}"/>
    <cellStyle name="Normal 5 2 6 2 2" xfId="529" xr:uid="{00000000-0005-0000-0000-000073020000}"/>
    <cellStyle name="Normal 5 2 6 2 2 2" xfId="863" xr:uid="{00000000-0005-0000-0000-000074020000}"/>
    <cellStyle name="Normal 5 2 6 2 3" xfId="760" xr:uid="{00000000-0005-0000-0000-000075020000}"/>
    <cellStyle name="Normal 5 2 6 3" xfId="477" xr:uid="{00000000-0005-0000-0000-000076020000}"/>
    <cellStyle name="Normal 5 2 6 3 2" xfId="811" xr:uid="{00000000-0005-0000-0000-000077020000}"/>
    <cellStyle name="Normal 5 2 6 4" xfId="647" xr:uid="{00000000-0005-0000-0000-000078020000}"/>
    <cellStyle name="Normal 5 2 6 4 2" xfId="964" xr:uid="{00000000-0005-0000-0000-000079020000}"/>
    <cellStyle name="Normal 5 2 6 5" xfId="708" xr:uid="{00000000-0005-0000-0000-00007A020000}"/>
    <cellStyle name="Normal 5 2 7" xfId="375" xr:uid="{00000000-0005-0000-0000-00007B020000}"/>
    <cellStyle name="Normal 5 2 7 2" xfId="480" xr:uid="{00000000-0005-0000-0000-00007C020000}"/>
    <cellStyle name="Normal 5 2 7 2 2" xfId="814" xr:uid="{00000000-0005-0000-0000-00007D020000}"/>
    <cellStyle name="Normal 5 2 7 3" xfId="598" xr:uid="{00000000-0005-0000-0000-00007E020000}"/>
    <cellStyle name="Normal 5 2 7 3 2" xfId="918" xr:uid="{00000000-0005-0000-0000-00007F020000}"/>
    <cellStyle name="Normal 5 2 7 4" xfId="711" xr:uid="{00000000-0005-0000-0000-000080020000}"/>
    <cellStyle name="Normal 5 2 8" xfId="430" xr:uid="{00000000-0005-0000-0000-000081020000}"/>
    <cellStyle name="Normal 5 2 8 2" xfId="764" xr:uid="{00000000-0005-0000-0000-000082020000}"/>
    <cellStyle name="Normal 5 2 9" xfId="533" xr:uid="{00000000-0005-0000-0000-000083020000}"/>
    <cellStyle name="Normal 5 2 9 2" xfId="867" xr:uid="{00000000-0005-0000-0000-000084020000}"/>
    <cellStyle name="Normal 5 3" xfId="325" xr:uid="{00000000-0005-0000-0000-000085020000}"/>
    <cellStyle name="Normal 5 3 2" xfId="337" xr:uid="{00000000-0005-0000-0000-000086020000}"/>
    <cellStyle name="Normal 5 3 2 2" xfId="362" xr:uid="{00000000-0005-0000-0000-000087020000}"/>
    <cellStyle name="Normal 5 3 2 2 2" xfId="416" xr:uid="{00000000-0005-0000-0000-000088020000}"/>
    <cellStyle name="Normal 5 3 2 2 2 2" xfId="519" xr:uid="{00000000-0005-0000-0000-000089020000}"/>
    <cellStyle name="Normal 5 3 2 2 2 2 2" xfId="853" xr:uid="{00000000-0005-0000-0000-00008A020000}"/>
    <cellStyle name="Normal 5 3 2 2 2 3" xfId="750" xr:uid="{00000000-0005-0000-0000-00008B020000}"/>
    <cellStyle name="Normal 5 3 2 2 3" xfId="467" xr:uid="{00000000-0005-0000-0000-00008C020000}"/>
    <cellStyle name="Normal 5 3 2 2 3 2" xfId="801" xr:uid="{00000000-0005-0000-0000-00008D020000}"/>
    <cellStyle name="Normal 5 3 2 2 4" xfId="637" xr:uid="{00000000-0005-0000-0000-00008E020000}"/>
    <cellStyle name="Normal 5 3 2 2 4 2" xfId="954" xr:uid="{00000000-0005-0000-0000-00008F020000}"/>
    <cellStyle name="Normal 5 3 2 2 5" xfId="698" xr:uid="{00000000-0005-0000-0000-000090020000}"/>
    <cellStyle name="Normal 5 3 2 3" xfId="395" xr:uid="{00000000-0005-0000-0000-000091020000}"/>
    <cellStyle name="Normal 5 3 2 3 2" xfId="498" xr:uid="{00000000-0005-0000-0000-000092020000}"/>
    <cellStyle name="Normal 5 3 2 3 2 2" xfId="832" xr:uid="{00000000-0005-0000-0000-000093020000}"/>
    <cellStyle name="Normal 5 3 2 3 3" xfId="615" xr:uid="{00000000-0005-0000-0000-000094020000}"/>
    <cellStyle name="Normal 5 3 2 3 3 2" xfId="933" xr:uid="{00000000-0005-0000-0000-000095020000}"/>
    <cellStyle name="Normal 5 3 2 3 4" xfId="729" xr:uid="{00000000-0005-0000-0000-000096020000}"/>
    <cellStyle name="Normal 5 3 2 4" xfId="445" xr:uid="{00000000-0005-0000-0000-000097020000}"/>
    <cellStyle name="Normal 5 3 2 4 2" xfId="779" xr:uid="{00000000-0005-0000-0000-000098020000}"/>
    <cellStyle name="Normal 5 3 2 5" xfId="556" xr:uid="{00000000-0005-0000-0000-000099020000}"/>
    <cellStyle name="Normal 5 3 2 5 2" xfId="889" xr:uid="{00000000-0005-0000-0000-00009A020000}"/>
    <cellStyle name="Normal 5 3 2 6" xfId="676" xr:uid="{00000000-0005-0000-0000-00009B020000}"/>
    <cellStyle name="Normal 5 3 3" xfId="351" xr:uid="{00000000-0005-0000-0000-00009C020000}"/>
    <cellStyle name="Normal 5 3 3 2" xfId="405" xr:uid="{00000000-0005-0000-0000-00009D020000}"/>
    <cellStyle name="Normal 5 3 3 2 2" xfId="508" xr:uid="{00000000-0005-0000-0000-00009E020000}"/>
    <cellStyle name="Normal 5 3 3 2 2 2" xfId="842" xr:uid="{00000000-0005-0000-0000-00009F020000}"/>
    <cellStyle name="Normal 5 3 3 2 3" xfId="626" xr:uid="{00000000-0005-0000-0000-0000A0020000}"/>
    <cellStyle name="Normal 5 3 3 2 3 2" xfId="943" xr:uid="{00000000-0005-0000-0000-0000A1020000}"/>
    <cellStyle name="Normal 5 3 3 2 4" xfId="739" xr:uid="{00000000-0005-0000-0000-0000A2020000}"/>
    <cellStyle name="Normal 5 3 3 3" xfId="456" xr:uid="{00000000-0005-0000-0000-0000A3020000}"/>
    <cellStyle name="Normal 5 3 3 3 2" xfId="790" xr:uid="{00000000-0005-0000-0000-0000A4020000}"/>
    <cellStyle name="Normal 5 3 3 4" xfId="571" xr:uid="{00000000-0005-0000-0000-0000A5020000}"/>
    <cellStyle name="Normal 5 3 3 4 2" xfId="905" xr:uid="{00000000-0005-0000-0000-0000A6020000}"/>
    <cellStyle name="Normal 5 3 3 5" xfId="687" xr:uid="{00000000-0005-0000-0000-0000A7020000}"/>
    <cellStyle name="Normal 5 3 4" xfId="384" xr:uid="{00000000-0005-0000-0000-0000A8020000}"/>
    <cellStyle name="Normal 5 3 4 2" xfId="487" xr:uid="{00000000-0005-0000-0000-0000A9020000}"/>
    <cellStyle name="Normal 5 3 4 2 2" xfId="821" xr:uid="{00000000-0005-0000-0000-0000AA020000}"/>
    <cellStyle name="Normal 5 3 4 3" xfId="602" xr:uid="{00000000-0005-0000-0000-0000AB020000}"/>
    <cellStyle name="Normal 5 3 4 3 2" xfId="922" xr:uid="{00000000-0005-0000-0000-0000AC020000}"/>
    <cellStyle name="Normal 5 3 4 4" xfId="718" xr:uid="{00000000-0005-0000-0000-0000AD020000}"/>
    <cellStyle name="Normal 5 3 5" xfId="434" xr:uid="{00000000-0005-0000-0000-0000AE020000}"/>
    <cellStyle name="Normal 5 3 5 2" xfId="768" xr:uid="{00000000-0005-0000-0000-0000AF020000}"/>
    <cellStyle name="Normal 5 3 6" xfId="537" xr:uid="{00000000-0005-0000-0000-0000B0020000}"/>
    <cellStyle name="Normal 5 3 6 2" xfId="871" xr:uid="{00000000-0005-0000-0000-0000B1020000}"/>
    <cellStyle name="Normal 5 3 7" xfId="665" xr:uid="{00000000-0005-0000-0000-0000B2020000}"/>
    <cellStyle name="Normal 5 4" xfId="332" xr:uid="{00000000-0005-0000-0000-0000B3020000}"/>
    <cellStyle name="Normal 5 4 2" xfId="356" xr:uid="{00000000-0005-0000-0000-0000B4020000}"/>
    <cellStyle name="Normal 5 4 2 2" xfId="410" xr:uid="{00000000-0005-0000-0000-0000B5020000}"/>
    <cellStyle name="Normal 5 4 2 2 2" xfId="513" xr:uid="{00000000-0005-0000-0000-0000B6020000}"/>
    <cellStyle name="Normal 5 4 2 2 2 2" xfId="847" xr:uid="{00000000-0005-0000-0000-0000B7020000}"/>
    <cellStyle name="Normal 5 4 2 2 3" xfId="631" xr:uid="{00000000-0005-0000-0000-0000B8020000}"/>
    <cellStyle name="Normal 5 4 2 2 3 2" xfId="948" xr:uid="{00000000-0005-0000-0000-0000B9020000}"/>
    <cellStyle name="Normal 5 4 2 2 4" xfId="744" xr:uid="{00000000-0005-0000-0000-0000BA020000}"/>
    <cellStyle name="Normal 5 4 2 3" xfId="461" xr:uid="{00000000-0005-0000-0000-0000BB020000}"/>
    <cellStyle name="Normal 5 4 2 3 2" xfId="795" xr:uid="{00000000-0005-0000-0000-0000BC020000}"/>
    <cellStyle name="Normal 5 4 2 4" xfId="561" xr:uid="{00000000-0005-0000-0000-0000BD020000}"/>
    <cellStyle name="Normal 5 4 2 4 2" xfId="895" xr:uid="{00000000-0005-0000-0000-0000BE020000}"/>
    <cellStyle name="Normal 5 4 2 5" xfId="692" xr:uid="{00000000-0005-0000-0000-0000BF020000}"/>
    <cellStyle name="Normal 5 4 3" xfId="389" xr:uid="{00000000-0005-0000-0000-0000C0020000}"/>
    <cellStyle name="Normal 5 4 3 2" xfId="492" xr:uid="{00000000-0005-0000-0000-0000C1020000}"/>
    <cellStyle name="Normal 5 4 3 2 2" xfId="826" xr:uid="{00000000-0005-0000-0000-0000C2020000}"/>
    <cellStyle name="Normal 5 4 3 3" xfId="577" xr:uid="{00000000-0005-0000-0000-0000C3020000}"/>
    <cellStyle name="Normal 5 4 3 3 2" xfId="911" xr:uid="{00000000-0005-0000-0000-0000C4020000}"/>
    <cellStyle name="Normal 5 4 3 4" xfId="723" xr:uid="{00000000-0005-0000-0000-0000C5020000}"/>
    <cellStyle name="Normal 5 4 4" xfId="439" xr:uid="{00000000-0005-0000-0000-0000C6020000}"/>
    <cellStyle name="Normal 5 4 4 2" xfId="609" xr:uid="{00000000-0005-0000-0000-0000C7020000}"/>
    <cellStyle name="Normal 5 4 4 2 2" xfId="927" xr:uid="{00000000-0005-0000-0000-0000C8020000}"/>
    <cellStyle name="Normal 5 4 4 3" xfId="773" xr:uid="{00000000-0005-0000-0000-0000C9020000}"/>
    <cellStyle name="Normal 5 4 5" xfId="543" xr:uid="{00000000-0005-0000-0000-0000CA020000}"/>
    <cellStyle name="Normal 5 4 5 2" xfId="877" xr:uid="{00000000-0005-0000-0000-0000CB020000}"/>
    <cellStyle name="Normal 5 4 6" xfId="670" xr:uid="{00000000-0005-0000-0000-0000CC020000}"/>
    <cellStyle name="Normal 5 5" xfId="345" xr:uid="{00000000-0005-0000-0000-0000CD020000}"/>
    <cellStyle name="Normal 5 5 2" xfId="399" xr:uid="{00000000-0005-0000-0000-0000CE020000}"/>
    <cellStyle name="Normal 5 5 2 2" xfId="502" xr:uid="{00000000-0005-0000-0000-0000CF020000}"/>
    <cellStyle name="Normal 5 5 2 2 2" xfId="836" xr:uid="{00000000-0005-0000-0000-0000D0020000}"/>
    <cellStyle name="Normal 5 5 2 3" xfId="620" xr:uid="{00000000-0005-0000-0000-0000D1020000}"/>
    <cellStyle name="Normal 5 5 2 3 2" xfId="937" xr:uid="{00000000-0005-0000-0000-0000D2020000}"/>
    <cellStyle name="Normal 5 5 2 4" xfId="733" xr:uid="{00000000-0005-0000-0000-0000D3020000}"/>
    <cellStyle name="Normal 5 5 3" xfId="450" xr:uid="{00000000-0005-0000-0000-0000D4020000}"/>
    <cellStyle name="Normal 5 5 3 2" xfId="784" xr:uid="{00000000-0005-0000-0000-0000D5020000}"/>
    <cellStyle name="Normal 5 5 4" xfId="550" xr:uid="{00000000-0005-0000-0000-0000D6020000}"/>
    <cellStyle name="Normal 5 5 4 2" xfId="883" xr:uid="{00000000-0005-0000-0000-0000D7020000}"/>
    <cellStyle name="Normal 5 5 5" xfId="681" xr:uid="{00000000-0005-0000-0000-0000D8020000}"/>
    <cellStyle name="Normal 5 6" xfId="366" xr:uid="{00000000-0005-0000-0000-0000D9020000}"/>
    <cellStyle name="Normal 5 6 2" xfId="420" xr:uid="{00000000-0005-0000-0000-0000DA020000}"/>
    <cellStyle name="Normal 5 6 2 2" xfId="523" xr:uid="{00000000-0005-0000-0000-0000DB020000}"/>
    <cellStyle name="Normal 5 6 2 2 2" xfId="857" xr:uid="{00000000-0005-0000-0000-0000DC020000}"/>
    <cellStyle name="Normal 5 6 2 3" xfId="641" xr:uid="{00000000-0005-0000-0000-0000DD020000}"/>
    <cellStyle name="Normal 5 6 2 3 2" xfId="958" xr:uid="{00000000-0005-0000-0000-0000DE020000}"/>
    <cellStyle name="Normal 5 6 2 4" xfId="754" xr:uid="{00000000-0005-0000-0000-0000DF020000}"/>
    <cellStyle name="Normal 5 6 3" xfId="471" xr:uid="{00000000-0005-0000-0000-0000E0020000}"/>
    <cellStyle name="Normal 5 6 3 2" xfId="805" xr:uid="{00000000-0005-0000-0000-0000E1020000}"/>
    <cellStyle name="Normal 5 6 4" xfId="565" xr:uid="{00000000-0005-0000-0000-0000E2020000}"/>
    <cellStyle name="Normal 5 6 4 2" xfId="899" xr:uid="{00000000-0005-0000-0000-0000E3020000}"/>
    <cellStyle name="Normal 5 6 5" xfId="702" xr:uid="{00000000-0005-0000-0000-0000E4020000}"/>
    <cellStyle name="Normal 5 7" xfId="370" xr:uid="{00000000-0005-0000-0000-0000E5020000}"/>
    <cellStyle name="Normal 5 7 2" xfId="424" xr:uid="{00000000-0005-0000-0000-0000E6020000}"/>
    <cellStyle name="Normal 5 7 2 2" xfId="527" xr:uid="{00000000-0005-0000-0000-0000E7020000}"/>
    <cellStyle name="Normal 5 7 2 2 2" xfId="861" xr:uid="{00000000-0005-0000-0000-0000E8020000}"/>
    <cellStyle name="Normal 5 7 2 3" xfId="645" xr:uid="{00000000-0005-0000-0000-0000E9020000}"/>
    <cellStyle name="Normal 5 7 2 3 2" xfId="962" xr:uid="{00000000-0005-0000-0000-0000EA020000}"/>
    <cellStyle name="Normal 5 7 2 4" xfId="758" xr:uid="{00000000-0005-0000-0000-0000EB020000}"/>
    <cellStyle name="Normal 5 7 3" xfId="475" xr:uid="{00000000-0005-0000-0000-0000EC020000}"/>
    <cellStyle name="Normal 5 7 3 2" xfId="809" xr:uid="{00000000-0005-0000-0000-0000ED020000}"/>
    <cellStyle name="Normal 5 7 4" xfId="590" xr:uid="{00000000-0005-0000-0000-0000EE020000}"/>
    <cellStyle name="Normal 5 7 5" xfId="706" xr:uid="{00000000-0005-0000-0000-0000EF020000}"/>
    <cellStyle name="Normal 5 8" xfId="379" xr:uid="{00000000-0005-0000-0000-0000F0020000}"/>
    <cellStyle name="Normal 5 8 2" xfId="482" xr:uid="{00000000-0005-0000-0000-0000F1020000}"/>
    <cellStyle name="Normal 5 8 2 2" xfId="816" xr:uid="{00000000-0005-0000-0000-0000F2020000}"/>
    <cellStyle name="Normal 5 8 3" xfId="596" xr:uid="{00000000-0005-0000-0000-0000F3020000}"/>
    <cellStyle name="Normal 5 8 3 2" xfId="916" xr:uid="{00000000-0005-0000-0000-0000F4020000}"/>
    <cellStyle name="Normal 5 8 4" xfId="713" xr:uid="{00000000-0005-0000-0000-0000F5020000}"/>
    <cellStyle name="Normal 5 9" xfId="428" xr:uid="{00000000-0005-0000-0000-0000F6020000}"/>
    <cellStyle name="Normal 5 9 2" xfId="762" xr:uid="{00000000-0005-0000-0000-0000F7020000}"/>
    <cellStyle name="Normal 6" xfId="79" xr:uid="{00000000-0005-0000-0000-0000F8020000}"/>
    <cellStyle name="Normal 6 2" xfId="165" xr:uid="{00000000-0005-0000-0000-0000F9020000}"/>
    <cellStyle name="Normal 6 2 2" xfId="587" xr:uid="{00000000-0005-0000-0000-0000FA020000}"/>
    <cellStyle name="Normal 6 3" xfId="320" xr:uid="{00000000-0005-0000-0000-0000FB020000}"/>
    <cellStyle name="Normal 7" xfId="80" xr:uid="{00000000-0005-0000-0000-0000FC020000}"/>
    <cellStyle name="Normal 7 10" xfId="660" xr:uid="{00000000-0005-0000-0000-0000FD020000}"/>
    <cellStyle name="Normal 7 2" xfId="166" xr:uid="{00000000-0005-0000-0000-0000FE020000}"/>
    <cellStyle name="Normal 7 2 2" xfId="338" xr:uid="{00000000-0005-0000-0000-0000FF020000}"/>
    <cellStyle name="Normal 7 2 2 2" xfId="363" xr:uid="{00000000-0005-0000-0000-000000030000}"/>
    <cellStyle name="Normal 7 2 2 2 2" xfId="417" xr:uid="{00000000-0005-0000-0000-000001030000}"/>
    <cellStyle name="Normal 7 2 2 2 2 2" xfId="520" xr:uid="{00000000-0005-0000-0000-000002030000}"/>
    <cellStyle name="Normal 7 2 2 2 2 2 2" xfId="854" xr:uid="{00000000-0005-0000-0000-000003030000}"/>
    <cellStyle name="Normal 7 2 2 2 2 3" xfId="751" xr:uid="{00000000-0005-0000-0000-000004030000}"/>
    <cellStyle name="Normal 7 2 2 2 3" xfId="468" xr:uid="{00000000-0005-0000-0000-000005030000}"/>
    <cellStyle name="Normal 7 2 2 2 3 2" xfId="802" xr:uid="{00000000-0005-0000-0000-000006030000}"/>
    <cellStyle name="Normal 7 2 2 2 4" xfId="638" xr:uid="{00000000-0005-0000-0000-000007030000}"/>
    <cellStyle name="Normal 7 2 2 2 4 2" xfId="955" xr:uid="{00000000-0005-0000-0000-000008030000}"/>
    <cellStyle name="Normal 7 2 2 2 5" xfId="699" xr:uid="{00000000-0005-0000-0000-000009030000}"/>
    <cellStyle name="Normal 7 2 2 3" xfId="396" xr:uid="{00000000-0005-0000-0000-00000A030000}"/>
    <cellStyle name="Normal 7 2 2 3 2" xfId="499" xr:uid="{00000000-0005-0000-0000-00000B030000}"/>
    <cellStyle name="Normal 7 2 2 3 2 2" xfId="833" xr:uid="{00000000-0005-0000-0000-00000C030000}"/>
    <cellStyle name="Normal 7 2 2 3 3" xfId="616" xr:uid="{00000000-0005-0000-0000-00000D030000}"/>
    <cellStyle name="Normal 7 2 2 3 3 2" xfId="934" xr:uid="{00000000-0005-0000-0000-00000E030000}"/>
    <cellStyle name="Normal 7 2 2 3 4" xfId="730" xr:uid="{00000000-0005-0000-0000-00000F030000}"/>
    <cellStyle name="Normal 7 2 2 4" xfId="446" xr:uid="{00000000-0005-0000-0000-000010030000}"/>
    <cellStyle name="Normal 7 2 2 4 2" xfId="780" xr:uid="{00000000-0005-0000-0000-000011030000}"/>
    <cellStyle name="Normal 7 2 2 5" xfId="557" xr:uid="{00000000-0005-0000-0000-000012030000}"/>
    <cellStyle name="Normal 7 2 2 5 2" xfId="890" xr:uid="{00000000-0005-0000-0000-000013030000}"/>
    <cellStyle name="Normal 7 2 2 6" xfId="677" xr:uid="{00000000-0005-0000-0000-000014030000}"/>
    <cellStyle name="Normal 7 2 3" xfId="352" xr:uid="{00000000-0005-0000-0000-000015030000}"/>
    <cellStyle name="Normal 7 2 3 2" xfId="406" xr:uid="{00000000-0005-0000-0000-000016030000}"/>
    <cellStyle name="Normal 7 2 3 2 2" xfId="509" xr:uid="{00000000-0005-0000-0000-000017030000}"/>
    <cellStyle name="Normal 7 2 3 2 2 2" xfId="843" xr:uid="{00000000-0005-0000-0000-000018030000}"/>
    <cellStyle name="Normal 7 2 3 2 3" xfId="627" xr:uid="{00000000-0005-0000-0000-000019030000}"/>
    <cellStyle name="Normal 7 2 3 2 3 2" xfId="944" xr:uid="{00000000-0005-0000-0000-00001A030000}"/>
    <cellStyle name="Normal 7 2 3 2 4" xfId="740" xr:uid="{00000000-0005-0000-0000-00001B030000}"/>
    <cellStyle name="Normal 7 2 3 3" xfId="457" xr:uid="{00000000-0005-0000-0000-00001C030000}"/>
    <cellStyle name="Normal 7 2 3 3 2" xfId="791" xr:uid="{00000000-0005-0000-0000-00001D030000}"/>
    <cellStyle name="Normal 7 2 3 4" xfId="572" xr:uid="{00000000-0005-0000-0000-00001E030000}"/>
    <cellStyle name="Normal 7 2 3 4 2" xfId="906" xr:uid="{00000000-0005-0000-0000-00001F030000}"/>
    <cellStyle name="Normal 7 2 3 5" xfId="688" xr:uid="{00000000-0005-0000-0000-000020030000}"/>
    <cellStyle name="Normal 7 2 4" xfId="385" xr:uid="{00000000-0005-0000-0000-000021030000}"/>
    <cellStyle name="Normal 7 2 4 2" xfId="488" xr:uid="{00000000-0005-0000-0000-000022030000}"/>
    <cellStyle name="Normal 7 2 4 2 2" xfId="822" xr:uid="{00000000-0005-0000-0000-000023030000}"/>
    <cellStyle name="Normal 7 2 4 3" xfId="603" xr:uid="{00000000-0005-0000-0000-000024030000}"/>
    <cellStyle name="Normal 7 2 4 3 2" xfId="923" xr:uid="{00000000-0005-0000-0000-000025030000}"/>
    <cellStyle name="Normal 7 2 4 4" xfId="719" xr:uid="{00000000-0005-0000-0000-000026030000}"/>
    <cellStyle name="Normal 7 2 5" xfId="435" xr:uid="{00000000-0005-0000-0000-000027030000}"/>
    <cellStyle name="Normal 7 2 5 2" xfId="769" xr:uid="{00000000-0005-0000-0000-000028030000}"/>
    <cellStyle name="Normal 7 2 6" xfId="538" xr:uid="{00000000-0005-0000-0000-000029030000}"/>
    <cellStyle name="Normal 7 2 6 2" xfId="872" xr:uid="{00000000-0005-0000-0000-00002A030000}"/>
    <cellStyle name="Normal 7 2 7" xfId="666" xr:uid="{00000000-0005-0000-0000-00002B030000}"/>
    <cellStyle name="Normal 7 3" xfId="333" xr:uid="{00000000-0005-0000-0000-00002C030000}"/>
    <cellStyle name="Normal 7 3 2" xfId="357" xr:uid="{00000000-0005-0000-0000-00002D030000}"/>
    <cellStyle name="Normal 7 3 2 2" xfId="411" xr:uid="{00000000-0005-0000-0000-00002E030000}"/>
    <cellStyle name="Normal 7 3 2 2 2" xfId="514" xr:uid="{00000000-0005-0000-0000-00002F030000}"/>
    <cellStyle name="Normal 7 3 2 2 2 2" xfId="848" xr:uid="{00000000-0005-0000-0000-000030030000}"/>
    <cellStyle name="Normal 7 3 2 2 3" xfId="632" xr:uid="{00000000-0005-0000-0000-000031030000}"/>
    <cellStyle name="Normal 7 3 2 2 3 2" xfId="949" xr:uid="{00000000-0005-0000-0000-000032030000}"/>
    <cellStyle name="Normal 7 3 2 2 4" xfId="745" xr:uid="{00000000-0005-0000-0000-000033030000}"/>
    <cellStyle name="Normal 7 3 2 3" xfId="462" xr:uid="{00000000-0005-0000-0000-000034030000}"/>
    <cellStyle name="Normal 7 3 2 3 2" xfId="796" xr:uid="{00000000-0005-0000-0000-000035030000}"/>
    <cellStyle name="Normal 7 3 2 4" xfId="562" xr:uid="{00000000-0005-0000-0000-000036030000}"/>
    <cellStyle name="Normal 7 3 2 4 2" xfId="896" xr:uid="{00000000-0005-0000-0000-000037030000}"/>
    <cellStyle name="Normal 7 3 2 5" xfId="693" xr:uid="{00000000-0005-0000-0000-000038030000}"/>
    <cellStyle name="Normal 7 3 3" xfId="390" xr:uid="{00000000-0005-0000-0000-000039030000}"/>
    <cellStyle name="Normal 7 3 3 2" xfId="493" xr:uid="{00000000-0005-0000-0000-00003A030000}"/>
    <cellStyle name="Normal 7 3 3 2 2" xfId="827" xr:uid="{00000000-0005-0000-0000-00003B030000}"/>
    <cellStyle name="Normal 7 3 3 3" xfId="578" xr:uid="{00000000-0005-0000-0000-00003C030000}"/>
    <cellStyle name="Normal 7 3 3 3 2" xfId="912" xr:uid="{00000000-0005-0000-0000-00003D030000}"/>
    <cellStyle name="Normal 7 3 3 4" xfId="724" xr:uid="{00000000-0005-0000-0000-00003E030000}"/>
    <cellStyle name="Normal 7 3 4" xfId="440" xr:uid="{00000000-0005-0000-0000-00003F030000}"/>
    <cellStyle name="Normal 7 3 4 2" xfId="610" xr:uid="{00000000-0005-0000-0000-000040030000}"/>
    <cellStyle name="Normal 7 3 4 2 2" xfId="928" xr:uid="{00000000-0005-0000-0000-000041030000}"/>
    <cellStyle name="Normal 7 3 4 3" xfId="774" xr:uid="{00000000-0005-0000-0000-000042030000}"/>
    <cellStyle name="Normal 7 3 5" xfId="544" xr:uid="{00000000-0005-0000-0000-000043030000}"/>
    <cellStyle name="Normal 7 3 5 2" xfId="878" xr:uid="{00000000-0005-0000-0000-000044030000}"/>
    <cellStyle name="Normal 7 3 6" xfId="671" xr:uid="{00000000-0005-0000-0000-000045030000}"/>
    <cellStyle name="Normal 7 4" xfId="346" xr:uid="{00000000-0005-0000-0000-000046030000}"/>
    <cellStyle name="Normal 7 4 2" xfId="400" xr:uid="{00000000-0005-0000-0000-000047030000}"/>
    <cellStyle name="Normal 7 4 2 2" xfId="503" xr:uid="{00000000-0005-0000-0000-000048030000}"/>
    <cellStyle name="Normal 7 4 2 2 2" xfId="837" xr:uid="{00000000-0005-0000-0000-000049030000}"/>
    <cellStyle name="Normal 7 4 2 3" xfId="621" xr:uid="{00000000-0005-0000-0000-00004A030000}"/>
    <cellStyle name="Normal 7 4 2 3 2" xfId="938" xr:uid="{00000000-0005-0000-0000-00004B030000}"/>
    <cellStyle name="Normal 7 4 2 4" xfId="734" xr:uid="{00000000-0005-0000-0000-00004C030000}"/>
    <cellStyle name="Normal 7 4 3" xfId="451" xr:uid="{00000000-0005-0000-0000-00004D030000}"/>
    <cellStyle name="Normal 7 4 3 2" xfId="785" xr:uid="{00000000-0005-0000-0000-00004E030000}"/>
    <cellStyle name="Normal 7 4 4" xfId="551" xr:uid="{00000000-0005-0000-0000-00004F030000}"/>
    <cellStyle name="Normal 7 4 4 2" xfId="884" xr:uid="{00000000-0005-0000-0000-000050030000}"/>
    <cellStyle name="Normal 7 4 5" xfId="682" xr:uid="{00000000-0005-0000-0000-000051030000}"/>
    <cellStyle name="Normal 7 5" xfId="367" xr:uid="{00000000-0005-0000-0000-000052030000}"/>
    <cellStyle name="Normal 7 5 2" xfId="421" xr:uid="{00000000-0005-0000-0000-000053030000}"/>
    <cellStyle name="Normal 7 5 2 2" xfId="524" xr:uid="{00000000-0005-0000-0000-000054030000}"/>
    <cellStyle name="Normal 7 5 2 2 2" xfId="858" xr:uid="{00000000-0005-0000-0000-000055030000}"/>
    <cellStyle name="Normal 7 5 2 3" xfId="642" xr:uid="{00000000-0005-0000-0000-000056030000}"/>
    <cellStyle name="Normal 7 5 2 3 2" xfId="959" xr:uid="{00000000-0005-0000-0000-000057030000}"/>
    <cellStyle name="Normal 7 5 2 4" xfId="755" xr:uid="{00000000-0005-0000-0000-000058030000}"/>
    <cellStyle name="Normal 7 5 3" xfId="472" xr:uid="{00000000-0005-0000-0000-000059030000}"/>
    <cellStyle name="Normal 7 5 3 2" xfId="806" xr:uid="{00000000-0005-0000-0000-00005A030000}"/>
    <cellStyle name="Normal 7 5 4" xfId="566" xr:uid="{00000000-0005-0000-0000-00005B030000}"/>
    <cellStyle name="Normal 7 5 4 2" xfId="900" xr:uid="{00000000-0005-0000-0000-00005C030000}"/>
    <cellStyle name="Normal 7 5 5" xfId="703" xr:uid="{00000000-0005-0000-0000-00005D030000}"/>
    <cellStyle name="Normal 7 6" xfId="371" xr:uid="{00000000-0005-0000-0000-00005E030000}"/>
    <cellStyle name="Normal 7 6 2" xfId="425" xr:uid="{00000000-0005-0000-0000-00005F030000}"/>
    <cellStyle name="Normal 7 6 2 2" xfId="528" xr:uid="{00000000-0005-0000-0000-000060030000}"/>
    <cellStyle name="Normal 7 6 2 2 2" xfId="862" xr:uid="{00000000-0005-0000-0000-000061030000}"/>
    <cellStyle name="Normal 7 6 2 3" xfId="759" xr:uid="{00000000-0005-0000-0000-000062030000}"/>
    <cellStyle name="Normal 7 6 3" xfId="476" xr:uid="{00000000-0005-0000-0000-000063030000}"/>
    <cellStyle name="Normal 7 6 3 2" xfId="810" xr:uid="{00000000-0005-0000-0000-000064030000}"/>
    <cellStyle name="Normal 7 6 4" xfId="646" xr:uid="{00000000-0005-0000-0000-000065030000}"/>
    <cellStyle name="Normal 7 6 4 2" xfId="963" xr:uid="{00000000-0005-0000-0000-000066030000}"/>
    <cellStyle name="Normal 7 6 5" xfId="707" xr:uid="{00000000-0005-0000-0000-000067030000}"/>
    <cellStyle name="Normal 7 7" xfId="380" xr:uid="{00000000-0005-0000-0000-000068030000}"/>
    <cellStyle name="Normal 7 7 2" xfId="483" xr:uid="{00000000-0005-0000-0000-000069030000}"/>
    <cellStyle name="Normal 7 7 2 2" xfId="817" xr:uid="{00000000-0005-0000-0000-00006A030000}"/>
    <cellStyle name="Normal 7 7 3" xfId="597" xr:uid="{00000000-0005-0000-0000-00006B030000}"/>
    <cellStyle name="Normal 7 7 3 2" xfId="917" xr:uid="{00000000-0005-0000-0000-00006C030000}"/>
    <cellStyle name="Normal 7 7 4" xfId="714" xr:uid="{00000000-0005-0000-0000-00006D030000}"/>
    <cellStyle name="Normal 7 8" xfId="429" xr:uid="{00000000-0005-0000-0000-00006E030000}"/>
    <cellStyle name="Normal 7 8 2" xfId="763" xr:uid="{00000000-0005-0000-0000-00006F030000}"/>
    <cellStyle name="Normal 7 9" xfId="532" xr:uid="{00000000-0005-0000-0000-000070030000}"/>
    <cellStyle name="Normal 7 9 2" xfId="866" xr:uid="{00000000-0005-0000-0000-000071030000}"/>
    <cellStyle name="Normal 8" xfId="94" xr:uid="{00000000-0005-0000-0000-000072030000}"/>
    <cellStyle name="Normal 8 2" xfId="180" xr:uid="{00000000-0005-0000-0000-000073030000}"/>
    <cellStyle name="Normal 8 2 2" xfId="360" xr:uid="{00000000-0005-0000-0000-000074030000}"/>
    <cellStyle name="Normal 8 2 2 2" xfId="414" xr:uid="{00000000-0005-0000-0000-000075030000}"/>
    <cellStyle name="Normal 8 2 2 2 2" xfId="517" xr:uid="{00000000-0005-0000-0000-000076030000}"/>
    <cellStyle name="Normal 8 2 2 2 2 2" xfId="851" xr:uid="{00000000-0005-0000-0000-000077030000}"/>
    <cellStyle name="Normal 8 2 2 2 3" xfId="748" xr:uid="{00000000-0005-0000-0000-000078030000}"/>
    <cellStyle name="Normal 8 2 2 3" xfId="465" xr:uid="{00000000-0005-0000-0000-000079030000}"/>
    <cellStyle name="Normal 8 2 2 3 2" xfId="799" xr:uid="{00000000-0005-0000-0000-00007A030000}"/>
    <cellStyle name="Normal 8 2 2 4" xfId="635" xr:uid="{00000000-0005-0000-0000-00007B030000}"/>
    <cellStyle name="Normal 8 2 2 4 2" xfId="952" xr:uid="{00000000-0005-0000-0000-00007C030000}"/>
    <cellStyle name="Normal 8 2 2 5" xfId="696" xr:uid="{00000000-0005-0000-0000-00007D030000}"/>
    <cellStyle name="Normal 8 2 3" xfId="393" xr:uid="{00000000-0005-0000-0000-00007E030000}"/>
    <cellStyle name="Normal 8 2 3 2" xfId="496" xr:uid="{00000000-0005-0000-0000-00007F030000}"/>
    <cellStyle name="Normal 8 2 3 2 2" xfId="830" xr:uid="{00000000-0005-0000-0000-000080030000}"/>
    <cellStyle name="Normal 8 2 3 3" xfId="613" xr:uid="{00000000-0005-0000-0000-000081030000}"/>
    <cellStyle name="Normal 8 2 3 3 2" xfId="931" xr:uid="{00000000-0005-0000-0000-000082030000}"/>
    <cellStyle name="Normal 8 2 3 4" xfId="727" xr:uid="{00000000-0005-0000-0000-000083030000}"/>
    <cellStyle name="Normal 8 2 4" xfId="443" xr:uid="{00000000-0005-0000-0000-000084030000}"/>
    <cellStyle name="Normal 8 2 4 2" xfId="777" xr:uid="{00000000-0005-0000-0000-000085030000}"/>
    <cellStyle name="Normal 8 2 5" xfId="554" xr:uid="{00000000-0005-0000-0000-000086030000}"/>
    <cellStyle name="Normal 8 2 5 2" xfId="887" xr:uid="{00000000-0005-0000-0000-000087030000}"/>
    <cellStyle name="Normal 8 2 6" xfId="674" xr:uid="{00000000-0005-0000-0000-000088030000}"/>
    <cellStyle name="Normal 8 3" xfId="349" xr:uid="{00000000-0005-0000-0000-000089030000}"/>
    <cellStyle name="Normal 8 3 2" xfId="403" xr:uid="{00000000-0005-0000-0000-00008A030000}"/>
    <cellStyle name="Normal 8 3 2 2" xfId="506" xr:uid="{00000000-0005-0000-0000-00008B030000}"/>
    <cellStyle name="Normal 8 3 2 2 2" xfId="840" xr:uid="{00000000-0005-0000-0000-00008C030000}"/>
    <cellStyle name="Normal 8 3 2 3" xfId="624" xr:uid="{00000000-0005-0000-0000-00008D030000}"/>
    <cellStyle name="Normal 8 3 2 3 2" xfId="941" xr:uid="{00000000-0005-0000-0000-00008E030000}"/>
    <cellStyle name="Normal 8 3 2 4" xfId="737" xr:uid="{00000000-0005-0000-0000-00008F030000}"/>
    <cellStyle name="Normal 8 3 3" xfId="454" xr:uid="{00000000-0005-0000-0000-000090030000}"/>
    <cellStyle name="Normal 8 3 3 2" xfId="788" xr:uid="{00000000-0005-0000-0000-000091030000}"/>
    <cellStyle name="Normal 8 3 4" xfId="569" xr:uid="{00000000-0005-0000-0000-000092030000}"/>
    <cellStyle name="Normal 8 3 4 2" xfId="903" xr:uid="{00000000-0005-0000-0000-000093030000}"/>
    <cellStyle name="Normal 8 3 5" xfId="685" xr:uid="{00000000-0005-0000-0000-000094030000}"/>
    <cellStyle name="Normal 8 4" xfId="382" xr:uid="{00000000-0005-0000-0000-000095030000}"/>
    <cellStyle name="Normal 8 4 2" xfId="485" xr:uid="{00000000-0005-0000-0000-000096030000}"/>
    <cellStyle name="Normal 8 4 2 2" xfId="819" xr:uid="{00000000-0005-0000-0000-000097030000}"/>
    <cellStyle name="Normal 8 4 3" xfId="600" xr:uid="{00000000-0005-0000-0000-000098030000}"/>
    <cellStyle name="Normal 8 4 3 2" xfId="920" xr:uid="{00000000-0005-0000-0000-000099030000}"/>
    <cellStyle name="Normal 8 4 4" xfId="716" xr:uid="{00000000-0005-0000-0000-00009A030000}"/>
    <cellStyle name="Normal 8 5" xfId="432" xr:uid="{00000000-0005-0000-0000-00009B030000}"/>
    <cellStyle name="Normal 8 5 2" xfId="766" xr:uid="{00000000-0005-0000-0000-00009C030000}"/>
    <cellStyle name="Normal 8 6" xfId="535" xr:uid="{00000000-0005-0000-0000-00009D030000}"/>
    <cellStyle name="Normal 8 6 2" xfId="869" xr:uid="{00000000-0005-0000-0000-00009E030000}"/>
    <cellStyle name="Normal 8 7" xfId="663" xr:uid="{00000000-0005-0000-0000-00009F030000}"/>
    <cellStyle name="Normal 9" xfId="108" xr:uid="{00000000-0005-0000-0000-0000A0030000}"/>
    <cellStyle name="Normal 9 2" xfId="194" xr:uid="{00000000-0005-0000-0000-0000A1030000}"/>
    <cellStyle name="Normal 9 2 2" xfId="893" xr:uid="{00000000-0005-0000-0000-0000A2030000}"/>
    <cellStyle name="Normal 9 3" xfId="575" xr:uid="{00000000-0005-0000-0000-0000A3030000}"/>
    <cellStyle name="Normal 9 3 2" xfId="909" xr:uid="{00000000-0005-0000-0000-0000A4030000}"/>
    <cellStyle name="Normal 9 4" xfId="607" xr:uid="{00000000-0005-0000-0000-0000A5030000}"/>
    <cellStyle name="Normal 9 5" xfId="541" xr:uid="{00000000-0005-0000-0000-0000A6030000}"/>
    <cellStyle name="Normal 9 5 2" xfId="875" xr:uid="{00000000-0005-0000-0000-0000A7030000}"/>
    <cellStyle name="Normal 9 6" xfId="329" xr:uid="{00000000-0005-0000-0000-0000A8030000}"/>
    <cellStyle name="Note 2" xfId="49" xr:uid="{00000000-0005-0000-0000-0000A9030000}"/>
    <cellStyle name="Note 2 2" xfId="136" xr:uid="{00000000-0005-0000-0000-0000AA030000}"/>
    <cellStyle name="Note 2 3" xfId="297" xr:uid="{00000000-0005-0000-0000-0000AB030000}"/>
    <cellStyle name="Note 3" xfId="51" xr:uid="{00000000-0005-0000-0000-0000AC030000}"/>
    <cellStyle name="Note 3 2" xfId="138" xr:uid="{00000000-0005-0000-0000-0000AD030000}"/>
    <cellStyle name="Note 4" xfId="65" xr:uid="{00000000-0005-0000-0000-0000AE030000}"/>
    <cellStyle name="Note 4 2" xfId="152" xr:uid="{00000000-0005-0000-0000-0000AF030000}"/>
    <cellStyle name="Note 5" xfId="81" xr:uid="{00000000-0005-0000-0000-0000B0030000}"/>
    <cellStyle name="Note 5 2" xfId="167" xr:uid="{00000000-0005-0000-0000-0000B1030000}"/>
    <cellStyle name="Note 6" xfId="95" xr:uid="{00000000-0005-0000-0000-0000B2030000}"/>
    <cellStyle name="Note 6 2" xfId="181" xr:uid="{00000000-0005-0000-0000-0000B3030000}"/>
    <cellStyle name="Note 7" xfId="109" xr:uid="{00000000-0005-0000-0000-0000B4030000}"/>
    <cellStyle name="Note 7 2" xfId="195" xr:uid="{00000000-0005-0000-0000-0000B5030000}"/>
    <cellStyle name="Output" xfId="12" builtinId="21" customBuiltin="1"/>
    <cellStyle name="Output 2" xfId="298" xr:uid="{00000000-0005-0000-0000-0000B7030000}"/>
    <cellStyle name="Output 3" xfId="220" xr:uid="{00000000-0005-0000-0000-0000B8030000}"/>
    <cellStyle name="Percent" xfId="208" builtinId="5"/>
    <cellStyle name="Percent 10" xfId="657" xr:uid="{00000000-0005-0000-0000-0000BA030000}"/>
    <cellStyle name="Percent 11" xfId="254" xr:uid="{00000000-0005-0000-0000-0000BB030000}"/>
    <cellStyle name="Percent 12" xfId="251" xr:uid="{00000000-0005-0000-0000-0000BC030000}"/>
    <cellStyle name="Percent 13" xfId="979" xr:uid="{00000000-0005-0000-0000-0000BD030000}"/>
    <cellStyle name="Percent 2" xfId="299" xr:uid="{00000000-0005-0000-0000-0000BE030000}"/>
    <cellStyle name="Percent 2 2" xfId="585" xr:uid="{00000000-0005-0000-0000-0000BF030000}"/>
    <cellStyle name="Percent 2 3" xfId="583" xr:uid="{00000000-0005-0000-0000-0000C0030000}"/>
    <cellStyle name="Percent 2 4" xfId="652" xr:uid="{00000000-0005-0000-0000-0000C1030000}"/>
    <cellStyle name="Percent 2 5" xfId="308" xr:uid="{00000000-0005-0000-0000-0000C2030000}"/>
    <cellStyle name="Percent 3" xfId="312" xr:uid="{00000000-0005-0000-0000-0000C3030000}"/>
    <cellStyle name="Percent 3 2" xfId="595" xr:uid="{00000000-0005-0000-0000-0000C4030000}"/>
    <cellStyle name="Percent 4" xfId="307" xr:uid="{00000000-0005-0000-0000-0000C5030000}"/>
    <cellStyle name="Percent 5" xfId="322" xr:uid="{00000000-0005-0000-0000-0000C6030000}"/>
    <cellStyle name="Percent 6" xfId="331" xr:uid="{00000000-0005-0000-0000-0000C7030000}"/>
    <cellStyle name="Percent 6 2" xfId="586" xr:uid="{00000000-0005-0000-0000-0000C8030000}"/>
    <cellStyle name="Percent 7" xfId="344" xr:uid="{00000000-0005-0000-0000-0000C9030000}"/>
    <cellStyle name="Percent 8" xfId="378" xr:uid="{00000000-0005-0000-0000-0000CA030000}"/>
    <cellStyle name="Percent 9" xfId="313" xr:uid="{00000000-0005-0000-0000-0000CB030000}"/>
    <cellStyle name="Title" xfId="3" builtinId="15" customBuiltin="1"/>
    <cellStyle name="Title 2" xfId="300" xr:uid="{00000000-0005-0000-0000-0000CD030000}"/>
    <cellStyle name="Total" xfId="18" builtinId="25" customBuiltin="1"/>
    <cellStyle name="Total 2" xfId="301" xr:uid="{00000000-0005-0000-0000-0000CF030000}"/>
    <cellStyle name="Total 3" xfId="226" xr:uid="{00000000-0005-0000-0000-0000D0030000}"/>
    <cellStyle name="Warning Text" xfId="16" builtinId="11" customBuiltin="1"/>
    <cellStyle name="Warning Text 2" xfId="302" xr:uid="{00000000-0005-0000-0000-0000D2030000}"/>
    <cellStyle name="Warning Text 3" xfId="224" xr:uid="{00000000-0005-0000-0000-0000D3030000}"/>
  </cellStyles>
  <dxfs count="1374">
    <dxf>
      <font>
        <b/>
        <i val="0"/>
        <color rgb="FFC00000"/>
      </font>
      <fill>
        <patternFill patternType="none">
          <bgColor auto="1"/>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ont>
        <b val="0"/>
        <i val="0"/>
      </font>
    </dxf>
    <dxf>
      <fill>
        <patternFill>
          <bgColor theme="6" tint="0.39994506668294322"/>
        </patternFill>
      </fill>
    </dxf>
    <dxf>
      <fill>
        <patternFill>
          <bgColor theme="9" tint="0.39994506668294322"/>
        </patternFill>
      </fill>
    </dxf>
    <dxf>
      <fill>
        <patternFill>
          <bgColor theme="0" tint="-0.34998626667073579"/>
        </patternFill>
      </fill>
    </dxf>
    <dxf>
      <font>
        <b val="0"/>
        <i val="0"/>
      </font>
    </dxf>
    <dxf>
      <fill>
        <patternFill>
          <bgColor theme="6" tint="0.39994506668294322"/>
        </patternFill>
      </fill>
    </dxf>
    <dxf>
      <fill>
        <patternFill>
          <bgColor theme="9" tint="0.39994506668294322"/>
        </patternFill>
      </fill>
    </dxf>
    <dxf>
      <fill>
        <patternFill>
          <bgColor theme="0" tint="-0.34998626667073579"/>
        </patternFill>
      </fill>
    </dxf>
    <dxf>
      <font>
        <b val="0"/>
        <i val="0"/>
      </font>
    </dxf>
    <dxf>
      <fill>
        <patternFill>
          <bgColor theme="6" tint="0.39994506668294322"/>
        </patternFill>
      </fill>
    </dxf>
    <dxf>
      <fill>
        <patternFill>
          <bgColor theme="9" tint="0.39994506668294322"/>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0" tint="-0.34998626667073579"/>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
      <font>
        <b/>
        <i val="0"/>
        <color rgb="FFC00000"/>
      </font>
    </dxf>
    <dxf>
      <fill>
        <patternFill>
          <bgColor theme="0" tint="-0.34998626667073579"/>
        </patternFill>
      </fill>
    </dxf>
    <dxf>
      <fill>
        <patternFill>
          <bgColor theme="0" tint="-0.34998626667073579"/>
        </patternFill>
      </fill>
    </dxf>
    <dxf>
      <font>
        <b/>
        <i val="0"/>
        <color rgb="FFC00000"/>
      </font>
    </dxf>
    <dxf>
      <font>
        <b/>
        <i val="0"/>
        <color rgb="FF0074C5"/>
      </font>
    </dxf>
    <dxf>
      <fill>
        <patternFill>
          <bgColor theme="6" tint="0.39994506668294322"/>
        </patternFill>
      </fill>
    </dxf>
    <dxf>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ill>
        <patternFill>
          <bgColor theme="0" tint="-0.24994659260841701"/>
        </patternFill>
      </fill>
    </dxf>
    <dxf>
      <font>
        <b/>
        <i val="0"/>
      </font>
    </dxf>
    <dxf>
      <fill>
        <patternFill>
          <bgColor theme="6" tint="0.39994506668294322"/>
        </patternFill>
      </fill>
    </dxf>
    <dxf>
      <fill>
        <patternFill>
          <bgColor theme="0" tint="-0.24994659260841701"/>
        </patternFill>
      </fill>
    </dxf>
    <dxf>
      <fill>
        <patternFill>
          <bgColor theme="6" tint="0.39994506668294322"/>
        </patternFill>
      </fill>
    </dxf>
    <dxf>
      <fill>
        <patternFill>
          <bgColor theme="6" tint="0.39994506668294322"/>
        </patternFill>
      </fill>
    </dxf>
    <dxf>
      <font>
        <color rgb="FF9C0006"/>
      </font>
      <fill>
        <patternFill>
          <bgColor rgb="FFFFC7CE"/>
        </patternFill>
      </fill>
    </dxf>
    <dxf>
      <fill>
        <patternFill>
          <bgColor theme="6" tint="0.39994506668294322"/>
        </patternFill>
      </fill>
    </dxf>
    <dxf>
      <fill>
        <patternFill>
          <bgColor rgb="FFFF0000"/>
        </patternFill>
      </fill>
    </dxf>
    <dxf>
      <fill>
        <patternFill>
          <bgColor theme="0" tint="-0.24994659260841701"/>
        </patternFill>
      </fill>
    </dxf>
    <dxf>
      <font>
        <b/>
        <i val="0"/>
        <color theme="0"/>
      </font>
      <fill>
        <patternFill>
          <bgColor theme="4"/>
        </patternFill>
      </fill>
      <border>
        <left/>
        <right/>
        <top style="thin">
          <color auto="1"/>
        </top>
        <bottom style="thin">
          <color auto="1"/>
        </bottom>
      </border>
    </dxf>
    <dxf>
      <font>
        <color rgb="FF9C0006"/>
      </font>
      <fill>
        <patternFill>
          <bgColor rgb="FFFFC7CE"/>
        </patternFill>
      </fill>
    </dxf>
    <dxf>
      <fill>
        <patternFill>
          <bgColor theme="0" tint="-0.24994659260841701"/>
        </patternFill>
      </fill>
    </dxf>
    <dxf>
      <fill>
        <patternFill>
          <bgColor rgb="FFFF0000"/>
        </patternFill>
      </fill>
    </dxf>
    <dxf>
      <fill>
        <patternFill>
          <bgColor rgb="FFFFFF00"/>
        </patternFill>
      </fill>
    </dxf>
    <dxf>
      <fill>
        <patternFill>
          <bgColor theme="6" tint="0.39994506668294322"/>
        </patternFill>
      </fill>
    </dxf>
    <dxf>
      <fill>
        <patternFill>
          <bgColor theme="6" tint="0.39994506668294322"/>
        </patternFill>
      </fill>
    </dxf>
    <dxf>
      <fill>
        <patternFill>
          <bgColor theme="0" tint="-0.24994659260841701"/>
        </patternFill>
      </fill>
    </dxf>
    <dxf>
      <font>
        <b/>
        <i val="0"/>
        <color theme="0"/>
      </font>
      <fill>
        <patternFill>
          <bgColor theme="4"/>
        </patternFill>
      </fill>
      <border>
        <left/>
        <right/>
        <top style="thin">
          <color auto="1"/>
        </top>
        <bottom style="thin">
          <color auto="1"/>
        </bottom>
      </border>
    </dxf>
    <dxf>
      <fill>
        <patternFill>
          <bgColor theme="6" tint="0.39994506668294322"/>
        </patternFill>
      </fill>
    </dxf>
    <dxf>
      <fill>
        <patternFill>
          <bgColor rgb="FFFF0000"/>
        </patternFill>
      </fill>
    </dxf>
    <dxf>
      <fill>
        <patternFill>
          <bgColor theme="6" tint="0.39994506668294322"/>
        </patternFill>
      </fill>
    </dxf>
    <dxf>
      <fill>
        <patternFill>
          <bgColor theme="0" tint="-0.34998626667073579"/>
        </patternFill>
      </fill>
    </dxf>
    <dxf>
      <fill>
        <patternFill>
          <bgColor theme="6" tint="0.39994506668294322"/>
        </patternFill>
      </fill>
    </dxf>
    <dxf>
      <fill>
        <patternFill>
          <bgColor theme="9" tint="0.39994506668294322"/>
        </patternFill>
      </fill>
    </dxf>
    <dxf>
      <fill>
        <patternFill>
          <bgColor theme="6" tint="0.39994506668294322"/>
        </patternFill>
      </fill>
    </dxf>
    <dxf>
      <fill>
        <patternFill>
          <bgColor theme="0" tint="-0.24994659260841701"/>
        </patternFill>
      </fill>
    </dxf>
    <dxf>
      <fill>
        <patternFill>
          <bgColor theme="6" tint="0.39994506668294322"/>
        </patternFill>
      </fill>
    </dxf>
    <dxf>
      <fill>
        <patternFill>
          <bgColor theme="6" tint="0.39994506668294322"/>
        </patternFill>
      </fill>
    </dxf>
    <dxf>
      <fill>
        <patternFill>
          <bgColor theme="9" tint="0.39994506668294322"/>
        </patternFill>
      </fill>
    </dxf>
    <dxf>
      <fill>
        <patternFill>
          <bgColor theme="6" tint="0.39994506668294322"/>
        </patternFill>
      </fill>
    </dxf>
    <dxf>
      <fill>
        <patternFill>
          <bgColor theme="9" tint="0.39994506668294322"/>
        </patternFill>
      </fill>
    </dxf>
    <dxf>
      <fill>
        <patternFill>
          <bgColor theme="0" tint="-0.34998626667073579"/>
        </patternFill>
      </fill>
    </dxf>
    <dxf>
      <font>
        <color rgb="FF006100"/>
      </font>
      <fill>
        <patternFill>
          <bgColor rgb="FFC6EFCE"/>
        </patternFill>
      </fill>
    </dxf>
    <dxf>
      <font>
        <color rgb="FF9C0006"/>
      </font>
      <fill>
        <patternFill>
          <bgColor rgb="FFFFC7CE"/>
        </patternFill>
      </fill>
    </dxf>
    <dxf>
      <font>
        <color theme="0" tint="-0.499984740745262"/>
      </font>
    </dxf>
    <dxf>
      <font>
        <color theme="0" tint="-0.499984740745262"/>
      </font>
      <fill>
        <patternFill patternType="none">
          <bgColor auto="1"/>
        </patternFill>
      </fill>
    </dxf>
    <dxf>
      <font>
        <b/>
        <i val="0"/>
        <color rgb="FFFF0000"/>
      </font>
    </dxf>
    <dxf>
      <fill>
        <patternFill patternType="none">
          <fgColor indexed="64"/>
          <bgColor auto="1"/>
        </patternFill>
      </fill>
    </dxf>
    <dxf>
      <fill>
        <patternFill patternType="none">
          <fgColor indexed="64"/>
          <bgColor indexed="65"/>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strike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strike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strike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0"/>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strike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strike val="0"/>
        <outline val="0"/>
        <shadow val="0"/>
        <u val="none"/>
        <vertAlign val="baseline"/>
        <sz val="10"/>
        <color rgb="FF000000"/>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color rgb="FF000000"/>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rgb="FF000000"/>
        <name val="Arial"/>
        <family val="2"/>
        <scheme val="none"/>
      </font>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center" textRotation="0" wrapText="0" indent="0" justifyLastLine="0" shrinkToFit="0" readingOrder="0"/>
      <border diagonalUp="0" diagonalDown="0" outline="0">
        <left style="thin">
          <color theme="0" tint="-0.249977111117893"/>
        </left>
        <right style="thin">
          <color theme="0" tint="-0.249977111117893"/>
        </right>
        <top/>
        <bottom/>
      </border>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strike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solid">
          <fgColor indexed="64"/>
          <bgColor rgb="FFFFFF00"/>
        </patternFill>
      </fill>
      <alignment horizontal="left" vertical="center" textRotation="0" wrapText="1" indent="0" justifyLastLine="0" shrinkToFit="0" readingOrder="0"/>
    </dxf>
    <dxf>
      <font>
        <strike val="0"/>
        <outline val="0"/>
        <shadow val="0"/>
        <u val="none"/>
        <vertAlign val="baseline"/>
        <sz val="10"/>
        <color rgb="FF000000"/>
        <name val="Arial"/>
        <family val="2"/>
        <scheme val="none"/>
      </font>
      <fill>
        <patternFill patternType="solid">
          <fgColor indexed="64"/>
          <bgColor rgb="FFFFFF00"/>
        </patternFill>
      </fill>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alignment horizontal="left" vertical="bottom" textRotation="0" wrapText="1"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alignment horizontal="center" vertical="bottom" textRotation="0" wrapText="0" indent="0" justifyLastLine="0" shrinkToFit="0" readingOrder="0"/>
      <border diagonalUp="0" diagonalDown="0" outline="0">
        <left/>
        <right/>
        <top style="thin">
          <color theme="0" tint="-0.24994659260841701"/>
        </top>
        <bottom style="thin">
          <color theme="0" tint="-0.24994659260841701"/>
        </bottom>
      </border>
    </dxf>
    <dxf>
      <border outline="0">
        <top style="thin">
          <color theme="0" tint="-0.24994659260841701"/>
        </top>
      </border>
    </dxf>
    <dxf>
      <border outline="0">
        <left style="thin">
          <color theme="0" tint="-0.24994659260841701"/>
        </left>
        <right style="thin">
          <color theme="0" tint="-0.24994659260841701"/>
        </right>
        <top style="thin">
          <color theme="0" tint="-0.24994659260841701"/>
        </top>
        <bottom style="thin">
          <color theme="0" tint="-0.24994659260841701"/>
        </bottom>
      </border>
    </dxf>
    <dxf>
      <border outline="0">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alignment horizontal="center"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alignment horizontal="center" vertical="bottom"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rgb="FFBFBFBF"/>
        </top>
      </border>
    </dxf>
    <dxf>
      <border outline="0">
        <left style="thin">
          <color rgb="FFBFBFBF"/>
        </left>
        <right style="thin">
          <color rgb="FFBFBFBF"/>
        </right>
        <bottom style="thin">
          <color rgb="FFBFBFBF"/>
        </bottom>
      </border>
    </dxf>
    <dxf>
      <fill>
        <patternFill patternType="solid">
          <fgColor rgb="FF000000"/>
          <bgColor rgb="FFFFFFFF"/>
        </patternFill>
      </fill>
    </dxf>
    <dxf>
      <border outline="0">
        <bottom style="thin">
          <color rgb="FFBFBFBF"/>
        </bottom>
      </border>
    </dxf>
    <dxf>
      <fill>
        <patternFill patternType="solid">
          <fgColor indexed="64"/>
          <bgColor theme="0"/>
        </patternFill>
      </fill>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rgb="FFBFBFBF"/>
        </top>
      </border>
    </dxf>
    <dxf>
      <border outline="0">
        <left style="thin">
          <color rgb="FFBFBFBF"/>
        </left>
        <right style="thin">
          <color rgb="FFBFBFBF"/>
        </right>
        <bottom style="thin">
          <color rgb="FFBFBFBF"/>
        </bottom>
      </border>
    </dxf>
    <dxf>
      <fill>
        <patternFill patternType="solid">
          <fgColor rgb="FF000000"/>
          <bgColor rgb="FFFFFFFF"/>
        </patternFill>
      </fill>
    </dxf>
    <dxf>
      <border outline="0">
        <bottom style="thin">
          <color rgb="FFBFBFBF"/>
        </bottom>
      </border>
    </dxf>
    <dxf>
      <fill>
        <patternFill patternType="solid">
          <fgColor indexed="64"/>
          <bgColor theme="0"/>
        </patternFill>
      </fill>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outline="0">
        <top style="thin">
          <color theme="0" tint="-0.24994659260841701"/>
        </top>
      </border>
    </dxf>
    <dxf>
      <border outline="0">
        <left style="thin">
          <color theme="0" tint="-0.24994659260841701"/>
        </left>
        <right style="thin">
          <color rgb="FFBFBFBF"/>
        </right>
        <bottom style="thin">
          <color theme="0" tint="-0.24994659260841701"/>
        </bottom>
      </border>
    </dxf>
    <dxf>
      <fill>
        <patternFill patternType="solid">
          <fgColor indexed="64"/>
          <bgColor theme="0"/>
        </patternFill>
      </fill>
    </dxf>
    <dxf>
      <border outline="0">
        <bottom style="thin">
          <color theme="0" tint="-0.24994659260841701"/>
        </bottom>
      </border>
    </dxf>
    <dxf>
      <fill>
        <patternFill patternType="solid">
          <fgColor indexed="64"/>
          <bgColor theme="0"/>
        </patternFill>
      </fill>
    </dxf>
    <dxf>
      <font>
        <b val="0"/>
        <i val="0"/>
        <strike val="0"/>
        <condense val="0"/>
        <extend val="0"/>
        <outline val="0"/>
        <shadow val="0"/>
        <u val="none"/>
        <vertAlign val="baseline"/>
        <sz val="10"/>
        <color theme="1"/>
        <name val="Arial"/>
        <family val="2"/>
        <scheme val="none"/>
      </font>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34" formatCode="_-&quot;£&quot;* #,##0.00_-;\-&quot;£&quot;* #,##0.00_-;_-&quot;£&quot;* &quot;-&quot;??_-;_-@_-"/>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border diagonalUp="0" diagonalDown="0" outline="0">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dxf>
    <dxf>
      <border>
        <bottom style="thin">
          <color rgb="FFBFBFBF"/>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numFmt numFmtId="34" formatCode="_-&quot;£&quot;* #,##0.00_-;\-&quot;£&quot;* #,##0.00_-;_-&quot;£&quot;* &quot;-&quot;??_-;_-@_-"/>
      <fill>
        <patternFill patternType="solid">
          <fgColor indexed="64"/>
          <bgColor rgb="FFFFFF00"/>
        </patternFill>
      </fill>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alignment horizontal="center"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14" formatCode="0.00%"/>
      <alignment horizontal="general" vertical="center"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outline="0">
        <left style="thin">
          <color indexed="64"/>
        </left>
        <right style="thin">
          <color theme="0" tint="-0.24994659260841701"/>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general" vertical="top" textRotation="0" wrapText="0" indent="0" justifyLastLine="0" shrinkToFit="0" readingOrder="0"/>
      <border diagonalUp="0" diagonalDown="0" outline="0">
        <left/>
        <right/>
        <top style="thin">
          <color theme="0" tint="-0.24994659260841701"/>
        </top>
        <bottom style="thin">
          <color theme="0" tint="-0.24994659260841701"/>
        </bottom>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dxf>
    <dxf>
      <border>
        <bottom style="thin">
          <color theme="0" tint="-0.24994659260841701"/>
        </bottom>
      </border>
    </dxf>
    <dxf>
      <font>
        <b/>
        <i val="0"/>
        <strike val="0"/>
        <condense val="0"/>
        <extend val="0"/>
        <outline val="0"/>
        <shadow val="0"/>
        <u val="none"/>
        <vertAlign val="baseline"/>
        <sz val="10"/>
        <color theme="0" tint="-0.499984740745262"/>
        <name val="Arial"/>
        <family val="2"/>
        <scheme val="none"/>
      </font>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outline="0">
        <left style="thin">
          <color theme="0" tint="-0.24994659260841701"/>
        </left>
        <right/>
        <top/>
        <bottom style="thin">
          <color theme="0" tint="-0.24994659260841701"/>
        </bottom>
      </border>
    </dxf>
    <dxf>
      <font>
        <b/>
        <i val="0"/>
        <strike val="0"/>
        <condense val="0"/>
        <extend val="0"/>
        <outline val="0"/>
        <shadow val="0"/>
        <u val="none"/>
        <vertAlign val="baseline"/>
        <sz val="10"/>
        <color theme="1"/>
        <name val="Arial"/>
        <family val="2"/>
        <scheme val="none"/>
      </font>
      <numFmt numFmtId="30" formatCode="@"/>
      <alignment horizontal="left" vertical="top" textRotation="0" wrapText="0" indent="0" justifyLastLine="0" shrinkToFit="0" readingOrder="0"/>
      <border diagonalUp="0" diagonalDown="0" outline="0">
        <left style="thin">
          <color theme="0" tint="-0.24994659260841701"/>
        </left>
        <right style="thin">
          <color theme="0" tint="-0.24994659260841701"/>
        </right>
        <top/>
        <bottom style="thin">
          <color theme="0" tint="-0.24994659260841701"/>
        </bottom>
      </border>
    </dxf>
    <dxf>
      <font>
        <b/>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outline="0">
        <left style="thin">
          <color theme="0" tint="-0.24994659260841701"/>
        </left>
        <right style="thin">
          <color theme="0" tint="-0.24994659260841701"/>
        </right>
        <top/>
        <bottom style="thin">
          <color theme="0" tint="-0.24994659260841701"/>
        </bottom>
      </border>
    </dxf>
    <dxf>
      <font>
        <b/>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auto="1"/>
        <name val="Arial"/>
        <family val="2"/>
        <scheme val="none"/>
      </font>
      <numFmt numFmtId="0" formatCode="General"/>
      <alignment horizontal="left" vertical="top" textRotation="0" wrapText="1" indent="0" justifyLastLine="0" shrinkToFit="0" readingOrder="0"/>
      <border diagonalUp="0" diagonalDown="0" outline="0">
        <left/>
        <right style="thin">
          <color theme="0" tint="-0.24994659260841701"/>
        </right>
        <top/>
        <bottom/>
      </border>
    </dxf>
    <dxf>
      <font>
        <b/>
        <i val="0"/>
        <strike val="0"/>
        <condense val="0"/>
        <extend val="0"/>
        <outline val="0"/>
        <shadow val="0"/>
        <u val="none"/>
        <vertAlign val="baseline"/>
        <sz val="10"/>
        <color auto="1"/>
        <name val="Arial"/>
        <family val="2"/>
        <scheme val="none"/>
      </font>
      <numFmt numFmtId="0" formatCode="General"/>
      <alignment horizontal="left" vertical="top" textRotation="0" wrapText="1" indent="0" justifyLastLine="0" shrinkToFit="0" readingOrder="0"/>
      <border diagonalUp="0" diagonalDown="0" outline="0">
        <left style="thin">
          <color theme="0" tint="-0.24994659260841701"/>
        </left>
        <right/>
        <top/>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font>
      <alignment horizontal="left" vertical="top" textRotation="0" indent="0" justifyLastLine="0" shrinkToFit="0" readingOrder="0"/>
    </dxf>
    <dxf>
      <border>
        <bottom style="thin">
          <color theme="0" tint="-0.24994659260841701"/>
        </bottom>
      </border>
    </dxf>
    <dxf>
      <font>
        <b/>
        <i val="0"/>
        <strike val="0"/>
        <condense val="0"/>
        <extend val="0"/>
        <outline val="0"/>
        <shadow val="0"/>
        <u val="none"/>
        <vertAlign val="baseline"/>
        <sz val="10"/>
        <color theme="0" tint="-0.499984740745262"/>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right/>
        <top/>
        <bottom/>
        <vertical/>
        <horizontal/>
      </border>
    </dxf>
    <dxf>
      <font>
        <b/>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outline="0">
        <left style="thin">
          <color theme="0" tint="-0.24994659260841701"/>
        </left>
        <right/>
        <top/>
        <bottom style="thin">
          <color theme="0" tint="-0.24994659260841701"/>
        </bottom>
      </border>
    </dxf>
    <dxf>
      <font>
        <b/>
        <i val="0"/>
        <strike val="0"/>
        <condense val="0"/>
        <extend val="0"/>
        <outline val="0"/>
        <shadow val="0"/>
        <u val="none"/>
        <vertAlign val="baseline"/>
        <sz val="10"/>
        <color theme="1"/>
        <name val="Arial"/>
        <family val="2"/>
        <scheme val="none"/>
      </font>
      <numFmt numFmtId="30" formatCode="@"/>
      <alignment horizontal="left" vertical="top" textRotation="0" wrapText="0" indent="0" justifyLastLine="0" shrinkToFit="0" readingOrder="0"/>
      <border diagonalUp="0" diagonalDown="0" outline="0">
        <left style="thin">
          <color theme="0" tint="-0.24994659260841701"/>
        </left>
        <right style="thin">
          <color theme="0" tint="-0.24994659260841701"/>
        </right>
        <top/>
        <bottom style="thin">
          <color theme="0" tint="-0.24994659260841701"/>
        </bottom>
      </border>
    </dxf>
    <dxf>
      <font>
        <b/>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outline="0">
        <left style="thin">
          <color theme="0" tint="-0.24994659260841701"/>
        </left>
        <right style="thin">
          <color theme="0" tint="-0.24994659260841701"/>
        </right>
        <top/>
        <bottom style="thin">
          <color theme="0" tint="-0.24994659260841701"/>
        </bottom>
      </border>
    </dxf>
    <dxf>
      <font>
        <b/>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top" textRotation="0" wrapText="0" indent="0" justifyLastLine="0" shrinkToFit="0" readingOrder="0"/>
      <border diagonalUp="0" diagonalDown="0" outline="0">
        <left style="thin">
          <color theme="0" tint="-0.24994659260841701"/>
        </left>
        <right style="thin">
          <color theme="0" tint="-0.24994659260841701"/>
        </right>
        <top/>
        <bottom/>
      </border>
    </dxf>
    <dxf>
      <font>
        <b/>
        <i val="0"/>
        <strike val="0"/>
        <condense val="0"/>
        <extend val="0"/>
        <outline val="0"/>
        <shadow val="0"/>
        <u val="none"/>
        <vertAlign val="baseline"/>
        <sz val="10"/>
        <color auto="1"/>
        <name val="Arial"/>
        <family val="2"/>
        <scheme val="none"/>
      </font>
      <numFmt numFmtId="0" formatCode="General"/>
      <alignment horizontal="left" vertical="top" textRotation="0" wrapText="1" indent="0" justifyLastLine="0" shrinkToFit="0" readingOrder="0"/>
      <border diagonalUp="0" diagonalDown="0" outline="0">
        <left/>
        <right style="thin">
          <color theme="0" tint="-0.24994659260841701"/>
        </right>
        <top/>
        <bottom/>
      </border>
    </dxf>
    <dxf>
      <font>
        <b/>
        <i val="0"/>
        <strike val="0"/>
        <condense val="0"/>
        <extend val="0"/>
        <outline val="0"/>
        <shadow val="0"/>
        <u val="none"/>
        <vertAlign val="baseline"/>
        <sz val="10"/>
        <color auto="1"/>
        <name val="Arial"/>
        <family val="2"/>
        <scheme val="none"/>
      </font>
      <numFmt numFmtId="0" formatCode="General"/>
      <alignment horizontal="left" vertical="top" textRotation="0" wrapText="1" indent="0" justifyLastLine="0" shrinkToFit="0" readingOrder="0"/>
      <border diagonalUp="0" diagonalDown="0" outline="0">
        <left style="thin">
          <color theme="0" tint="-0.24994659260841701"/>
        </left>
        <right/>
        <top/>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font>
    </dxf>
    <dxf>
      <border>
        <bottom style="thin">
          <color theme="0" tint="-0.24994659260841701"/>
        </bottom>
      </border>
    </dxf>
    <dxf>
      <font>
        <b/>
        <i val="0"/>
        <strike val="0"/>
        <condense val="0"/>
        <extend val="0"/>
        <outline val="0"/>
        <shadow val="0"/>
        <u val="none"/>
        <vertAlign val="baseline"/>
        <sz val="10"/>
        <color theme="0" tint="-0.499984740745262"/>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border>
    </dxf>
    <dxf>
      <font>
        <b/>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alignment horizontal="center"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alignment horizontal="center"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alignment horizontal="general"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top" textRotation="0" wrapText="0"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i val="0"/>
        <strike val="0"/>
        <condense val="0"/>
        <extend val="0"/>
        <outline val="0"/>
        <shadow val="0"/>
        <u val="none"/>
        <vertAlign val="baseline"/>
        <sz val="10"/>
        <color auto="1"/>
        <name val="Arial"/>
        <family val="2"/>
        <scheme val="none"/>
      </font>
      <numFmt numFmtId="0" formatCode="General"/>
      <alignment horizontal="center" vertical="top" textRotation="0" wrapText="1" indent="0" justifyLastLine="0" shrinkToFit="0" readingOrder="0"/>
      <border diagonalUp="0" diagonalDown="0" outline="0">
        <left style="thin">
          <color theme="0" tint="-0.24994659260841701"/>
        </left>
        <right style="thin">
          <color theme="0" tint="-0.24994659260841701"/>
        </right>
        <top/>
        <bottom/>
      </border>
    </dxf>
    <dxf>
      <font>
        <b/>
        <i val="0"/>
        <strike val="0"/>
        <condense val="0"/>
        <extend val="0"/>
        <outline val="0"/>
        <shadow val="0"/>
        <u val="none"/>
        <vertAlign val="baseline"/>
        <sz val="10"/>
        <color auto="1"/>
        <name val="Arial"/>
        <family val="2"/>
        <scheme val="none"/>
      </font>
      <numFmt numFmtId="0" formatCode="General"/>
      <alignment horizontal="left" vertical="top" textRotation="0" wrapText="1" indent="0" justifyLastLine="0" shrinkToFit="0" readingOrder="0"/>
      <border diagonalUp="0" diagonalDown="0" outline="0">
        <left style="thin">
          <color theme="0" tint="-0.24994659260841701"/>
        </left>
        <right style="thin">
          <color theme="0" tint="-0.24994659260841701"/>
        </right>
        <top/>
        <bottom/>
      </border>
    </dxf>
    <dxf>
      <font>
        <b/>
        <i val="0"/>
        <strike val="0"/>
        <condense val="0"/>
        <extend val="0"/>
        <outline val="0"/>
        <shadow val="0"/>
        <u val="none"/>
        <vertAlign val="baseline"/>
        <sz val="10"/>
        <color auto="1"/>
        <name val="Arial"/>
        <family val="2"/>
        <scheme val="none"/>
      </font>
      <numFmt numFmtId="0" formatCode="General"/>
      <alignment horizontal="left" vertical="top" textRotation="0" wrapText="1" indent="0" justifyLastLine="0" shrinkToFit="0" readingOrder="0"/>
      <border diagonalUp="0" diagonalDown="0" outline="0">
        <left/>
        <right style="thin">
          <color theme="0" tint="-0.24994659260841701"/>
        </right>
        <top/>
        <bottom/>
      </border>
    </dxf>
    <dxf>
      <border outline="0">
        <right style="thin">
          <color rgb="FFBFBFBF"/>
        </right>
      </border>
    </dxf>
    <dxf>
      <font>
        <b/>
        <i val="0"/>
        <strike val="0"/>
        <condense val="0"/>
        <extend val="0"/>
        <outline val="0"/>
        <shadow val="0"/>
        <u val="none"/>
        <vertAlign val="baseline"/>
        <sz val="10"/>
        <color rgb="FF000000"/>
        <name val="Arial"/>
        <family val="2"/>
        <scheme val="none"/>
      </font>
      <alignment horizontal="center" vertical="top" textRotation="0" wrapText="0" indent="0" justifyLastLine="0" shrinkToFit="0" readingOrder="0"/>
    </dxf>
    <dxf>
      <border outline="0">
        <bottom style="thin">
          <color rgb="FFBFBFBF"/>
        </bottom>
      </border>
    </dxf>
    <dxf>
      <font>
        <b/>
        <i val="0"/>
        <strike val="0"/>
        <condense val="0"/>
        <extend val="0"/>
        <outline val="0"/>
        <shadow val="0"/>
        <u val="none"/>
        <vertAlign val="baseline"/>
        <sz val="10"/>
        <color theme="0" tint="-0.499984740745262"/>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rgb="FFFFFF00"/>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vertical/>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dxf>
    <dxf>
      <border outline="0">
        <bottom style="thin">
          <color theme="0" tint="-0.24994659260841701"/>
        </bottom>
      </border>
    </dxf>
    <dxf>
      <font>
        <b/>
        <i val="0"/>
        <strike val="0"/>
        <condense val="0"/>
        <extend val="0"/>
        <outline val="0"/>
        <shadow val="0"/>
        <u val="none"/>
        <vertAlign val="baseline"/>
        <sz val="10"/>
        <color theme="0" tint="-0.499984740745262"/>
        <name val="Arial"/>
        <family val="2"/>
        <scheme val="none"/>
      </font>
      <numFmt numFmtId="0" formatCode="General"/>
      <alignment horizontal="left" vertical="top" textRotation="0" wrapText="0"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rgb="FFFFFF00"/>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rgb="FF000000"/>
        <name val="Arial"/>
        <family val="2"/>
        <scheme val="none"/>
      </font>
      <numFmt numFmtId="0" formatCode="General"/>
      <fill>
        <patternFill patternType="none">
          <fgColor rgb="FF000000"/>
          <bgColor rgb="FFFFFFFF"/>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center" vertical="top"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bottom/>
        <vertical/>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numFmt numFmtId="0" formatCode="General"/>
      <fill>
        <patternFill patternType="solid">
          <fgColor indexed="64"/>
          <bgColor rgb="FFFFFF00"/>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bottom/>
        <vertical/>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bottom/>
        <vertical/>
        <horizontal/>
      </border>
    </dxf>
    <dxf>
      <border outline="0">
        <top style="thin">
          <color rgb="FFBFBFBF"/>
        </top>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dxf>
    <dxf>
      <font>
        <b/>
        <i val="0"/>
        <strike val="0"/>
        <condense val="0"/>
        <extend val="0"/>
        <outline val="0"/>
        <shadow val="0"/>
        <u val="none"/>
        <vertAlign val="baseline"/>
        <sz val="10"/>
        <color theme="0" tint="-0.499984740745262"/>
        <name val="Arial"/>
        <family val="2"/>
        <scheme val="none"/>
      </font>
      <numFmt numFmtId="0" formatCode="General"/>
      <alignment horizontal="left" vertical="top" textRotation="0" wrapText="0"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bottom/>
        <vertical/>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border>
        <bottom style="thin">
          <color theme="0" tint="-0.24994659260841701"/>
        </bottom>
      </border>
    </dxf>
    <dxf>
      <font>
        <b/>
        <i val="0"/>
        <strike val="0"/>
        <condense val="0"/>
        <extend val="0"/>
        <outline val="0"/>
        <shadow val="0"/>
        <u val="none"/>
        <vertAlign val="baseline"/>
        <sz val="10"/>
        <color theme="0" tint="-0.499984740745262"/>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bottom/>
        <vertical/>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0"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bottom/>
        <vertical/>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rgb="FFBFBFBF"/>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rgb="FFBFBFBF"/>
        </left>
        <right style="thin">
          <color rgb="FFBFBFBF"/>
        </right>
        <top/>
        <bottom/>
        <vertical style="thin">
          <color rgb="FFBFBFBF"/>
        </vertical>
        <horizontal style="thin">
          <color rgb="FFBFBFBF"/>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theme="0" tint="-0.24994659260841701"/>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rgb="FFBFBFBF"/>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24994659260841701"/>
        </left>
        <right/>
        <top style="thin">
          <color theme="0" tint="-0.24994659260841701"/>
        </top>
        <bottom style="thin">
          <color rgb="FFBFBFBF"/>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theme="0" tint="-0.24994659260841701"/>
        </right>
        <top style="thin">
          <color theme="0" tint="-0.24994659260841701"/>
        </top>
        <bottom style="thin">
          <color theme="0" tint="-0.24994659260841701"/>
        </bottom>
        <vertical/>
        <horizontal style="thin">
          <color theme="0" tint="-0.24994659260841701"/>
        </horizontal>
      </border>
    </dxf>
    <dxf>
      <border outline="0">
        <top style="thin">
          <color theme="0" tint="-0.24994659260841701"/>
        </top>
      </border>
    </dxf>
    <dxf>
      <border outline="0">
        <left style="thin">
          <color rgb="FFBFBFBF"/>
        </left>
        <right style="thin">
          <color rgb="FFBFBFBF"/>
        </right>
        <top style="thin">
          <color rgb="FFBFBFBF"/>
        </top>
      </border>
    </dxf>
    <dxf>
      <border outline="0">
        <bottom style="thin">
          <color theme="0" tint="-0.24994659260841701"/>
        </bottom>
      </border>
    </dxf>
    <dxf>
      <font>
        <b/>
        <i val="0"/>
        <strike val="0"/>
        <condense val="0"/>
        <extend val="0"/>
        <outline val="0"/>
        <shadow val="0"/>
        <u val="none"/>
        <vertAlign val="baseline"/>
        <sz val="10"/>
        <color theme="0" tint="-0.499984740745262"/>
        <name val="Arial"/>
        <family val="2"/>
        <scheme val="none"/>
      </font>
      <numFmt numFmtId="0" formatCode="General"/>
      <alignment horizontal="left" vertical="top" textRotation="0" wrapText="0"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theme="0" tint="-0.24994659260841701"/>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theme="0" tint="-0.24994659260841701"/>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theme="0" tint="-0.24994659260841701"/>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rgb="FF000000"/>
        <name val="Arial"/>
        <family val="2"/>
        <scheme val="none"/>
      </font>
      <numFmt numFmtId="0" formatCode="General"/>
      <fill>
        <patternFill patternType="none">
          <fgColor rgb="FF000000"/>
          <bgColor rgb="FFFFFFFF"/>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rgb="FF000000"/>
        <name val="Arial"/>
        <family val="2"/>
        <scheme val="none"/>
      </font>
      <fill>
        <patternFill patternType="none">
          <fgColor rgb="FF000000"/>
          <bgColor rgb="FFFFFFFF"/>
        </patternFill>
      </fill>
      <alignment horizontal="left" vertical="top" textRotation="0" wrapText="1" indent="0" justifyLastLine="0" shrinkToFit="0" readingOrder="0"/>
    </dxf>
    <dxf>
      <border>
        <bottom style="thin">
          <color theme="0" tint="-0.24994659260841701"/>
        </bottom>
      </border>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style="thin">
          <color rgb="FFBFBFBF"/>
        </vertical>
        <horizontal style="thin">
          <color rgb="FFBFBFBF"/>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rgb="FFBFBFBF"/>
        </left>
        <right style="thin">
          <color rgb="FFBFBFBF"/>
        </right>
        <top style="thin">
          <color rgb="FFBFBFBF"/>
        </top>
        <bottom style="thin">
          <color rgb="FFBFBFBF"/>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style="thin">
          <color theme="0" tint="-0.24994659260841701"/>
        </horizontal>
      </border>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0" formatCode="General"/>
      <alignment horizontal="left" vertical="top"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2" formatCode="0.00"/>
      <alignment horizontal="left"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0" formatCode="General"/>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30" formatCode="@"/>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i val="0"/>
        <strike val="0"/>
        <condense val="0"/>
        <extend val="0"/>
        <outline val="0"/>
        <shadow val="0"/>
        <u val="none"/>
        <vertAlign val="baseline"/>
        <sz val="10"/>
        <color auto="1"/>
        <name val="Arial"/>
        <family val="2"/>
        <scheme val="none"/>
      </font>
      <numFmt numFmtId="2" formatCode="0.00"/>
      <alignment horizontal="left"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1" formatCode="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numFmt numFmtId="2" formatCode="0.00"/>
      <alignment horizontal="center"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border diagonalUp="0" diagonalDown="0">
        <left style="thin">
          <color theme="0" tint="-0.14993743705557422"/>
        </left>
        <right style="thin">
          <color theme="0" tint="-0.14993743705557422"/>
        </right>
        <top style="thin">
          <color theme="0" tint="-0.14993743705557422"/>
        </top>
        <bottom style="thin">
          <color theme="0" tint="-0.14993743705557422"/>
        </bottom>
        <vertical/>
        <horizontal/>
      </border>
    </dxf>
    <dxf>
      <border outline="0">
        <bottom style="thin">
          <color theme="0" tint="-0.14993743705557422"/>
        </bottom>
      </border>
    </dxf>
    <dxf>
      <font>
        <b val="0"/>
        <i val="0"/>
        <strike val="0"/>
        <condense val="0"/>
        <extend val="0"/>
        <outline val="0"/>
        <shadow val="0"/>
        <u val="none"/>
        <vertAlign val="baseline"/>
        <sz val="10"/>
        <color auto="1"/>
        <name val="Arial"/>
        <family val="2"/>
        <scheme val="none"/>
      </font>
      <alignment horizontal="center" vertical="top" textRotation="0" wrapText="1" indent="0" justifyLastLine="0" shrinkToFit="0" readingOrder="0"/>
    </dxf>
    <dxf>
      <font>
        <b/>
        <i val="0"/>
        <strike val="0"/>
        <condense val="0"/>
        <extend val="0"/>
        <outline val="0"/>
        <shadow val="0"/>
        <u val="none"/>
        <vertAlign val="baseline"/>
        <sz val="10"/>
        <color theme="0" tint="-0.499984740745262"/>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border diagonalUp="0" diagonalDown="0">
        <left style="thin">
          <color rgb="FFBFBFBF"/>
        </left>
        <right/>
        <top style="thin">
          <color rgb="FFBFBFBF"/>
        </top>
        <bottom style="thin">
          <color rgb="FFBFBFBF"/>
        </bottom>
        <vertical/>
        <horizontal/>
      </border>
    </dxf>
    <dxf>
      <font>
        <b val="0"/>
        <i val="0"/>
        <strike val="0"/>
        <condense val="0"/>
        <extend val="0"/>
        <outline val="0"/>
        <shadow val="0"/>
        <u val="none"/>
        <vertAlign val="baseline"/>
        <sz val="10"/>
        <color theme="1"/>
        <name val="Arial"/>
        <family val="2"/>
        <scheme val="none"/>
      </font>
      <numFmt numFmtId="2" formatCode="0.00"/>
      <alignment horizontal="right" vertical="center" textRotation="0" wrapText="1" indent="0" justifyLastLine="0" shrinkToFit="0" readingOrder="0"/>
      <border diagonalUp="0" diagonalDown="0" outline="0">
        <left style="thin">
          <color rgb="FFBFBFBF"/>
        </left>
        <right style="thin">
          <color rgb="FFBFBFBF"/>
        </right>
        <top style="thin">
          <color rgb="FFBFBFBF"/>
        </top>
        <bottom style="thin">
          <color rgb="FFBFBFBF"/>
        </bottom>
      </border>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border diagonalUp="0" diagonalDown="0">
        <left style="thin">
          <color rgb="FFBFBFBF"/>
        </left>
        <right style="thin">
          <color rgb="FFBFBFBF"/>
        </right>
        <top style="thin">
          <color rgb="FFBFBFBF"/>
        </top>
        <bottom style="thin">
          <color rgb="FFBFBFBF"/>
        </bottom>
        <vertical/>
        <horizontal/>
      </border>
    </dxf>
    <dxf>
      <font>
        <b val="0"/>
        <i val="0"/>
        <strike val="0"/>
        <condense val="0"/>
        <extend val="0"/>
        <outline val="0"/>
        <shadow val="0"/>
        <u val="none"/>
        <vertAlign val="baseline"/>
        <sz val="10"/>
        <color theme="1"/>
        <name val="Arial"/>
        <family val="2"/>
        <scheme val="none"/>
      </font>
      <numFmt numFmtId="0" formatCode="General"/>
      <alignment horizontal="left" vertical="center" textRotation="0" wrapText="1" indent="0" justifyLastLine="0" shrinkToFit="0" readingOrder="0"/>
      <border diagonalUp="0" diagonalDown="0">
        <left/>
        <right style="thin">
          <color rgb="FFBFBFBF"/>
        </right>
        <top style="thin">
          <color rgb="FFBFBFBF"/>
        </top>
        <bottom style="thin">
          <color rgb="FFBFBFBF"/>
        </bottom>
        <vertical/>
        <horizontal/>
      </border>
    </dxf>
    <dxf>
      <font>
        <b val="0"/>
        <i val="0"/>
        <strike val="0"/>
        <condense val="0"/>
        <extend val="0"/>
        <outline val="0"/>
        <shadow val="0"/>
        <u val="none"/>
        <vertAlign val="baseline"/>
        <sz val="10"/>
        <color theme="1"/>
        <name val="Arial"/>
        <family val="2"/>
        <scheme val="none"/>
      </font>
    </dxf>
    <dxf>
      <font>
        <b val="0"/>
        <i val="0"/>
        <strike val="0"/>
        <condense val="0"/>
        <extend val="0"/>
        <outline val="0"/>
        <shadow val="0"/>
        <u val="none"/>
        <vertAlign val="baseline"/>
        <sz val="10"/>
        <color theme="1"/>
        <name val="Arial"/>
        <family val="2"/>
        <scheme val="none"/>
      </font>
    </dxf>
    <dxf>
      <border outline="0">
        <top style="thin">
          <color rgb="FFBFBFBF"/>
        </top>
      </border>
    </dxf>
    <dxf>
      <border outline="0">
        <left style="thin">
          <color rgb="FFBFBFBF"/>
        </left>
        <right style="thin">
          <color rgb="FFBFBFBF"/>
        </right>
        <top style="thin">
          <color rgb="FFBFBFBF"/>
        </top>
        <bottom style="thin">
          <color rgb="FFBFBFBF"/>
        </bottom>
      </border>
    </dxf>
    <dxf>
      <border outline="0">
        <bottom style="thin">
          <color rgb="FFBFBFBF"/>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left style="thin">
          <color theme="4"/>
        </left>
        <top style="thin">
          <color theme="4"/>
        </top>
        <bottom style="thin">
          <color theme="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dxf>
    <dxf>
      <numFmt numFmtId="2" formatCode="0.00"/>
      <alignment horizontal="left" vertical="bottom" textRotation="0" wrapText="0" indent="0" justifyLastLine="0" shrinkToFit="0" readingOrder="0"/>
    </dxf>
    <dxf>
      <alignment horizontal="left" vertical="bottom" textRotation="0" wrapText="0" indent="0" justifyLastLine="0" shrinkToFit="0" readingOrder="0"/>
    </dxf>
    <dxf>
      <numFmt numFmtId="2" formatCode="0.00"/>
      <alignment horizontal="left" vertical="bottom" textRotation="0" wrapText="0" indent="0" justifyLastLine="0" shrinkToFit="0" readingOrder="0"/>
    </dxf>
    <dxf>
      <alignment horizontal="left" vertical="bottom" textRotation="0" wrapText="0" indent="0" justifyLastLine="0" shrinkToFit="0" readingOrder="0"/>
    </dxf>
    <dxf>
      <numFmt numFmtId="2" formatCode="0.00"/>
      <alignment horizontal="left" vertical="bottom" textRotation="0" wrapText="0" indent="0" justifyLastLine="0" shrinkToFit="0" readingOrder="0"/>
    </dxf>
    <dxf>
      <numFmt numFmtId="2" formatCode="0.00"/>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1"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166" formatCode="&quot;£&quot;#,##0.00"/>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166" formatCode="&quot;£&quot;#,##0.00"/>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166" formatCode="&quot;£&quot;#,##0.00"/>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166" formatCode="&quot;£&quot;#,##0.00"/>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3" formatCode="#,##0"/>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border diagonalUp="0" diagonalDown="0" outline="0">
        <left style="thin">
          <color indexed="64"/>
        </left>
        <right style="thin">
          <color indexed="64"/>
        </right>
        <top style="thin">
          <color indexed="64"/>
        </top>
        <bottom/>
      </border>
    </dxf>
    <dxf>
      <font>
        <strike val="0"/>
        <outline val="0"/>
        <shadow val="0"/>
        <u val="none"/>
        <vertAlign val="baseline"/>
        <sz val="10"/>
        <color theme="1"/>
        <name val="Arial"/>
        <family val="2"/>
        <scheme val="none"/>
      </font>
      <numFmt numFmtId="0" formatCode="Genera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border>
    </dxf>
    <dxf>
      <font>
        <strike val="0"/>
        <outline val="0"/>
        <shadow val="0"/>
        <u val="none"/>
        <vertAlign val="baseline"/>
        <sz val="10"/>
        <color theme="1"/>
        <name val="Arial"/>
        <family val="2"/>
        <scheme val="none"/>
      </font>
      <numFmt numFmtId="0" formatCode="Genera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numFmt numFmtId="0" formatCode="General"/>
    </dxf>
    <dxf>
      <border>
        <bottom style="thin">
          <color indexed="64"/>
        </bottom>
      </border>
    </dxf>
    <dxf>
      <font>
        <strike val="0"/>
        <outline val="0"/>
        <shadow val="0"/>
        <u val="none"/>
        <vertAlign val="baseline"/>
        <sz val="10"/>
        <color theme="1"/>
        <name val="Arial"/>
        <family val="2"/>
        <scheme val="none"/>
      </font>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dxf>
    <dxf>
      <border>
        <bottom style="thin">
          <color indexed="64"/>
        </bottom>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dxf>
    <dxf>
      <border>
        <bottom style="thin">
          <color indexed="64"/>
        </bottom>
      </border>
    </dxf>
    <dxf>
      <font>
        <b val="0"/>
        <i val="0"/>
        <strike val="0"/>
        <condense val="0"/>
        <extend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0"/>
        <name val="Arial"/>
        <family val="2"/>
        <scheme val="none"/>
      </font>
      <alignment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0"/>
        <name val="Arial"/>
        <family val="2"/>
        <scheme val="none"/>
      </font>
      <alignment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auto="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name val="Arial"/>
        <family val="2"/>
        <scheme val="none"/>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name val="Arial"/>
        <family val="2"/>
        <scheme val="none"/>
      </font>
      <alignment textRotation="0" wrapText="1" indent="0" justifyLastLine="0" shrinkToFit="0" readingOrder="0"/>
    </dxf>
    <dxf>
      <border>
        <bottom style="thin">
          <color indexed="64"/>
        </bottom>
      </border>
    </dxf>
    <dxf>
      <font>
        <strike val="0"/>
        <outline val="0"/>
        <shadow val="0"/>
        <u val="none"/>
        <vertAlign val="baseline"/>
        <sz val="10"/>
        <name val="Arial"/>
        <family val="2"/>
        <scheme val="none"/>
      </font>
      <alignment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alignment horizontal="left"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alignment horizontal="general" vertical="top" textRotation="0" wrapText="1" indent="0" justifyLastLine="0" shrinkToFit="0" readingOrder="0"/>
    </dxf>
    <dxf>
      <border>
        <bottom style="thin">
          <color indexed="64"/>
        </bottom>
      </border>
    </dxf>
    <dxf>
      <font>
        <strike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19" formatCode="dd/mm/yyyy"/>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0"/>
        <name val="Arial"/>
        <family val="2"/>
        <scheme val="none"/>
      </font>
      <numFmt numFmtId="34" formatCode="_-&quot;£&quot;* #,##0.00_-;\-&quot;£&quot;* #,##0.00_-;_-&quot;£&quot;* &quot;-&quot;??_-;_-@_-"/>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numFmt numFmtId="0" formatCode="General"/>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numFmt numFmtId="19" formatCode="dd/mm/yyyy"/>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name val="Arial"/>
        <family val="2"/>
        <scheme val="none"/>
      </font>
      <fill>
        <patternFill patternType="none">
          <bgColor auto="1"/>
        </patternFill>
      </fill>
      <alignment horizontal="left" vertical="top" textRotation="0" indent="0" justifyLastLine="0" shrinkToFit="0" readingOrder="0"/>
    </dxf>
    <dxf>
      <border>
        <bottom style="thin">
          <color indexed="64"/>
        </bottom>
      </border>
    </dxf>
    <dxf>
      <font>
        <b val="0"/>
        <i val="0"/>
        <strike val="0"/>
        <condense val="0"/>
        <extend val="0"/>
        <outline val="0"/>
        <shadow val="0"/>
        <u val="none"/>
        <vertAlign val="baseline"/>
        <sz val="10"/>
        <color theme="1"/>
        <name val="Arial"/>
        <family val="2"/>
        <scheme val="none"/>
      </font>
      <fill>
        <patternFill patternType="none">
          <bgColor auto="1"/>
        </patternFill>
      </fill>
      <border diagonalUp="0" diagonalDown="0" outline="0">
        <left style="thin">
          <color indexed="64"/>
        </left>
        <right style="thin">
          <color indexed="64"/>
        </right>
        <top/>
        <bottom/>
      </border>
    </dxf>
    <dxf>
      <font>
        <strike val="0"/>
        <outline val="0"/>
        <shadow val="0"/>
        <u val="none"/>
        <vertAlign val="baseline"/>
        <sz val="10"/>
        <color theme="1"/>
        <name val="Arial"/>
        <family val="2"/>
        <scheme val="none"/>
      </font>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0"/>
        <color theme="1"/>
        <name val="Arial"/>
        <family val="2"/>
        <scheme val="none"/>
      </font>
      <fill>
        <patternFill patternType="none">
          <fgColor indexed="64"/>
          <bgColor auto="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theme="1"/>
        <name val="Arial"/>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theme="1"/>
        <name val="Arial"/>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theme="1"/>
        <name val="Arial"/>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theme="1"/>
        <name val="Arial"/>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fill>
        <patternFill patternType="none">
          <fgColor indexed="64"/>
          <bgColor auto="1"/>
        </patternFill>
      </fill>
    </dxf>
    <dxf>
      <border>
        <bottom style="thin">
          <color indexed="64"/>
        </bottom>
      </border>
    </dxf>
    <dxf>
      <font>
        <strike val="0"/>
        <outline val="0"/>
        <shadow val="0"/>
        <u val="none"/>
        <vertAlign val="baseline"/>
        <sz val="10"/>
        <color theme="1"/>
        <name val="Arial"/>
        <family val="2"/>
        <scheme val="none"/>
      </font>
      <border diagonalUp="0" diagonalDown="0" outline="0">
        <left style="thin">
          <color indexed="64"/>
        </left>
        <right style="thin">
          <color indexed="64"/>
        </right>
        <top/>
        <bottom/>
      </border>
    </dxf>
    <dxf>
      <font>
        <strike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numFmt numFmtId="0" formatCode="General"/>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strike val="0"/>
        <outline val="0"/>
        <shadow val="0"/>
        <u val="none"/>
        <vertAlign val="baseline"/>
        <sz val="10"/>
        <color theme="1"/>
        <name val="Arial"/>
        <family val="2"/>
        <scheme val="none"/>
      </font>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Arial"/>
        <family val="2"/>
        <scheme val="none"/>
      </font>
      <alignment horizontal="left" vertical="top" textRotation="0" indent="0" justifyLastLine="0" shrinkToFit="0" readingOrder="0"/>
    </dxf>
    <dxf>
      <border>
        <bottom style="thin">
          <color indexed="64"/>
        </bottom>
      </border>
    </dxf>
    <dxf>
      <font>
        <strike val="0"/>
        <outline val="0"/>
        <shadow val="0"/>
        <u val="none"/>
        <vertAlign val="baseline"/>
        <sz val="10"/>
        <color theme="1"/>
        <name val="Arial"/>
        <family val="2"/>
        <scheme val="none"/>
      </font>
      <alignment horizontal="left" vertical="top" textRotation="0"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theme="1"/>
        <name val="Arial"/>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numFmt numFmtId="19" formatCode="dd/mm/yyyy"/>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color theme="1"/>
        <name val="Arial"/>
        <family val="2"/>
        <scheme val="none"/>
      </font>
      <border diagonalUp="0" diagonalDown="0">
        <left style="thin">
          <color indexed="64"/>
        </left>
        <right style="thin">
          <color indexed="64"/>
        </right>
        <top style="thin">
          <color indexed="64"/>
        </top>
        <bottom/>
        <vertical/>
        <horizontal/>
      </border>
    </dxf>
    <dxf>
      <font>
        <strike val="0"/>
        <outline val="0"/>
        <shadow val="0"/>
        <u val="none"/>
        <vertAlign val="baseline"/>
        <sz val="10"/>
        <color theme="1"/>
        <name val="Arial"/>
        <family val="2"/>
        <scheme val="none"/>
      </font>
      <border diagonalUp="0" diagonalDown="0">
        <left style="thin">
          <color indexed="64"/>
        </left>
        <right/>
        <top style="thin">
          <color indexed="64"/>
        </top>
        <bottom/>
        <vertical/>
        <horizontal/>
      </border>
    </dxf>
    <dxf>
      <border>
        <top style="thin">
          <color rgb="FF000000"/>
        </top>
      </border>
    </dxf>
    <dxf>
      <border diagonalUp="0" diagonalDown="0">
        <left style="thin">
          <color rgb="FF000000"/>
        </left>
        <right style="thin">
          <color rgb="FF000000"/>
        </right>
        <top style="thin">
          <color rgb="FF000000"/>
        </top>
        <bottom style="thin">
          <color rgb="FF000000"/>
        </bottom>
      </border>
    </dxf>
    <dxf>
      <border outline="0">
        <bottom style="thin">
          <color indexed="64"/>
        </bottom>
      </border>
    </dxf>
    <dxf>
      <font>
        <b val="0"/>
        <i val="0"/>
        <strike val="0"/>
        <condense val="0"/>
        <extend val="0"/>
        <outline val="0"/>
        <shadow val="0"/>
        <u val="none"/>
        <vertAlign val="baseline"/>
        <sz val="10"/>
        <color theme="1"/>
        <name val="Arial"/>
        <family val="2"/>
        <scheme val="none"/>
      </font>
      <border diagonalUp="0" diagonalDown="0" outline="0">
        <left style="thin">
          <color indexed="64"/>
        </left>
        <right style="thin">
          <color indexed="64"/>
        </right>
        <top/>
        <bottom/>
      </border>
    </dxf>
    <dxf>
      <font>
        <strike val="0"/>
        <outline val="0"/>
        <shadow val="0"/>
        <u val="none"/>
        <vertAlign val="baseline"/>
        <sz val="10"/>
        <name val="Arial"/>
        <family val="2"/>
        <scheme val="none"/>
      </font>
      <alignment horizontal="left" vertical="top"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0"/>
        <name val="Arial"/>
        <family val="2"/>
        <scheme val="none"/>
      </font>
      <alignment horizontal="left" vertical="top"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0"/>
        <name val="Arial"/>
        <family val="2"/>
        <scheme val="none"/>
      </font>
      <alignment horizontal="left" vertical="top"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0"/>
        <name val="Arial"/>
        <family val="2"/>
        <scheme val="none"/>
      </font>
      <alignment horizontal="left" vertical="top"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0"/>
        <name val="Arial"/>
        <family val="2"/>
        <scheme val="none"/>
      </font>
      <fill>
        <patternFill patternType="solid">
          <fgColor indexed="64"/>
          <bgColor rgb="FFFFFF00"/>
        </patternFill>
      </fill>
      <alignment horizontal="left" vertical="top"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0"/>
        <name val="Arial"/>
        <family val="2"/>
        <scheme val="none"/>
      </font>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0"/>
        <name val="Arial"/>
        <family val="2"/>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font>
        <strike val="0"/>
        <outline val="0"/>
        <shadow val="0"/>
        <u val="none"/>
        <vertAlign val="baseline"/>
        <sz val="10"/>
        <name val="Arial"/>
        <family val="2"/>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style="thin">
          <color theme="0" tint="-0.34998626667073579"/>
        </vertical>
        <horizontal style="thin">
          <color theme="0" tint="-0.34998626667073579"/>
        </horizontal>
      </border>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font>
        <strike val="0"/>
        <outline val="0"/>
        <shadow val="0"/>
        <u val="none"/>
        <vertAlign val="baseline"/>
        <sz val="10"/>
        <name val="Arial"/>
        <family val="2"/>
        <scheme val="none"/>
      </font>
    </dxf>
    <dxf>
      <border outline="0">
        <bottom style="thin">
          <color theme="0" tint="-0.34998626667073579"/>
        </bottom>
      </border>
    </dxf>
    <dxf>
      <font>
        <strike val="0"/>
        <outline val="0"/>
        <shadow val="0"/>
        <u val="none"/>
        <vertAlign val="baseline"/>
        <sz val="10"/>
        <color theme="0"/>
        <name val="Arial"/>
        <family val="2"/>
        <scheme val="none"/>
      </font>
    </dxf>
    <dxf>
      <font>
        <b val="0"/>
        <i val="0"/>
        <strike val="0"/>
        <condense val="0"/>
        <extend val="0"/>
        <outline val="0"/>
        <shadow val="0"/>
        <u val="none"/>
        <vertAlign val="baseline"/>
        <sz val="10"/>
        <color theme="1"/>
        <name val="Arial"/>
        <family val="2"/>
        <scheme val="none"/>
      </font>
      <alignment horizontal="center" vertical="top" textRotation="0" wrapText="0" indent="0" justifyLastLine="0" shrinkToFit="0" readingOrder="0"/>
      <border diagonalUp="0" diagonalDown="0">
        <left style="thin">
          <color theme="0" tint="-0.24994659260841701"/>
        </left>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alignment horizontal="general" vertical="top"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auto="1"/>
        <name val="Arial"/>
        <family val="2"/>
        <scheme val="none"/>
      </font>
      <alignment horizontal="general" vertical="top" textRotation="0" wrapText="0" indent="0" justifyLastLine="0" shrinkToFit="0" readingOrder="0"/>
      <border diagonalUp="0" diagonalDown="0">
        <left/>
        <right style="thin">
          <color theme="0" tint="-0.24994659260841701"/>
        </right>
        <top style="thin">
          <color theme="0" tint="-0.24994659260841701"/>
        </top>
        <bottom style="thin">
          <color theme="0" tint="-0.24994659260841701"/>
        </bottom>
        <vertical/>
        <horizontal/>
      </border>
    </dxf>
    <dxf>
      <border outline="0">
        <left style="thin">
          <color theme="0" tint="-0.24994659260841701"/>
        </left>
        <right style="thin">
          <color theme="0" tint="-0.24994659260841701"/>
        </right>
        <top style="thin">
          <color theme="0" tint="-0.24994659260841701"/>
        </top>
        <bottom style="thin">
          <color theme="0" tint="-0.24994659260841701"/>
        </bottom>
      </border>
    </dxf>
    <dxf>
      <border outline="0">
        <bottom style="thin">
          <color theme="0" tint="-0.24994659260841701"/>
        </bottom>
      </border>
    </dxf>
  </dxfs>
  <tableStyles count="0" defaultTableStyle="TableStyleMedium2" defaultPivotStyle="PivotStyleLight16"/>
  <colors>
    <mruColors>
      <color rgb="FF0074C5"/>
      <color rgb="FFFFFF99"/>
      <color rgb="FF2D3C46"/>
      <color rgb="FF333C41"/>
      <color rgb="FF0063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5.xml"/><Relationship Id="rId50" Type="http://schemas.openxmlformats.org/officeDocument/2006/relationships/styles" Target="styles.xml"/><Relationship Id="rId55"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3.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2.xml"/><Relationship Id="rId52"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1.xml"/><Relationship Id="rId48" Type="http://schemas.openxmlformats.org/officeDocument/2006/relationships/externalLink" Target="externalLinks/externalLink6.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4.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purdyo365.sharepoint.com/sites/Projects/Shared%20Documents/T1/T1-6389-%20JW-Stonewater%20Cleaning%20and%20Grounds%20Maintenance/07-Tender/01-Docs/01-Live/T1-6389-SW-CC%20and%20GM-Pricing-MASTER-Rev%20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purdyo365.sharepoint.com/sites/Projects/Shared%20Documents/T1/T1-6570-Royal%20Borough%20of%20Greenwich-Asbestos/13-Tender/01-Docs/01-Live/SUP/T1-4657-Estuary%20HA-ISIT-Doc%203-Rev%20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karenweeks\Desktop\SEC%20KW%20Desktop\T1-4063-PA%20Planned%20London-ITT-Doc%203-Rev%20F.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purdyo365.sharepoint.com/Projects/T1-3735-PS-Red%20Kite%20Framework%20-%20Planned%20Maintenance/13-Tender/01-Docs/03-Final/T1-3735-Red%20Kite%20Planned%20FW-ITT-Doc%203-Rev%20E.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jenniferjones\Desktop\T1-XXXX-Lotted\25-Pre-commissioning\01-Docs\01-Live\T1-XXXX-Client-Ref-SQ-Doc%203.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faithornfarrell365.sharepoint.com/sites/Projects/Shared%20Documents/T1/T1-6946-LM-Vivid%20Homes-Procurement%20support%20for%20Windows%20and%20Doors%20programme/13-Tender/01-Docs/01-Live/T1-6946-Vivid%20Homes-WD-Price%20Document.xlsx" TargetMode="External"/><Relationship Id="rId1" Type="http://schemas.openxmlformats.org/officeDocument/2006/relationships/externalLinkPath" Target="https://purdyo365.sharepoint.com/sites/Projects/Shared%20Documents/T1/T1-6946-LM-Vivid%20Homes-Procurement%20support%20for%20Windows%20and%20Doors%20programme/13-Tender/01-Docs/01-Live/T1-6946-Vivid%20Homes-WD-Price%20Docu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Contents"/>
      <sheetName val="QA"/>
      <sheetName val="Project Info"/>
      <sheetName val="Doc_Tables 2"/>
      <sheetName val="PF-Lots"/>
      <sheetName val="PF-Contact Details"/>
      <sheetName val="PF-CC_Annual Costs"/>
      <sheetName val="PF-CC_Routine SOR"/>
      <sheetName val="PF-CC_Reactive SOR"/>
      <sheetName val="PF-CC_Labour"/>
      <sheetName val="PF-GM_Annual Costs"/>
      <sheetName val="PF-GM_Routine SOR"/>
      <sheetName val="PF-GM_Reactive SOR"/>
      <sheetName val="PF-GM_Labour"/>
      <sheetName val="Part 6_(10)"/>
      <sheetName val="Part 6_(11)"/>
      <sheetName val="PF-Summary"/>
      <sheetName val="Response"/>
      <sheetName val="T1-6389-SW-CC and GM-Pricing-MA"/>
    </sheetNames>
    <sheetDataSet>
      <sheetData sheetId="0" refreshError="1"/>
      <sheetData sheetId="1" refreshError="1"/>
      <sheetData sheetId="2" refreshError="1"/>
      <sheetData sheetId="3" refreshError="1">
        <row r="1">
          <cell r="S1" t="str">
            <v>property</v>
          </cell>
        </row>
        <row r="2">
          <cell r="S2" t="str">
            <v>properties</v>
          </cell>
        </row>
        <row r="3">
          <cell r="B3" t="str">
            <v>T1-6389</v>
          </cell>
          <cell r="S3" t="str">
            <v>estate</v>
          </cell>
        </row>
        <row r="4">
          <cell r="S4" t="str">
            <v>estates</v>
          </cell>
        </row>
        <row r="5">
          <cell r="S5" t="str">
            <v>block</v>
          </cell>
        </row>
        <row r="6">
          <cell r="S6" t="str">
            <v>blocks</v>
          </cell>
        </row>
        <row r="7">
          <cell r="S7" t="str">
            <v>site</v>
          </cell>
        </row>
        <row r="8">
          <cell r="S8" t="str">
            <v>sites</v>
          </cell>
        </row>
        <row r="23">
          <cell r="B23" t="str">
            <v>No</v>
          </cell>
        </row>
        <row r="24">
          <cell r="B24">
            <v>1</v>
          </cell>
        </row>
        <row r="25">
          <cell r="B25" t="str">
            <v/>
          </cell>
        </row>
        <row r="66">
          <cell r="B66" t="str">
            <v/>
          </cell>
        </row>
        <row r="79">
          <cell r="H79" t="str">
            <v>Section not applicable</v>
          </cell>
        </row>
        <row r="102">
          <cell r="B102">
            <v>40</v>
          </cell>
        </row>
        <row r="103">
          <cell r="B103">
            <v>60</v>
          </cell>
        </row>
        <row r="106">
          <cell r="B106" t="str">
            <v/>
          </cell>
        </row>
        <row r="108">
          <cell r="B108" t="str">
            <v/>
          </cell>
        </row>
        <row r="109">
          <cell r="B109" t="str">
            <v/>
          </cell>
        </row>
        <row r="111">
          <cell r="B111" t="str">
            <v/>
          </cell>
        </row>
        <row r="112">
          <cell r="B112" t="str">
            <v/>
          </cell>
        </row>
        <row r="114">
          <cell r="B114" t="str">
            <v/>
          </cell>
        </row>
        <row r="115">
          <cell r="B115" t="str">
            <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Contents"/>
      <sheetName val="Project Info"/>
      <sheetName val="Dates"/>
      <sheetName val="Doc_Merge"/>
      <sheetName val="Lookups"/>
      <sheetName val="Questions"/>
      <sheetName val="Part_1"/>
      <sheetName val="Part_2"/>
      <sheetName val="Part_3"/>
      <sheetName val="Part_4"/>
      <sheetName val="Part_5_Repairs_PPP &amp; PPV"/>
      <sheetName val="Part_5_Repairs_SoR"/>
      <sheetName val="Part_5_Repairs_CallHandling"/>
      <sheetName val="Part_5_Testing"/>
      <sheetName val="Part_5_PlannedCatA_Kitchen"/>
      <sheetName val="Part_5_PlannedCatA_Bathroom"/>
      <sheetName val="Part_5_PlannedCatA_Ext_Redecs"/>
      <sheetName val="Part_5_PlannedCatA_Window_Door"/>
      <sheetName val="Part_5_PlannedCatA_Boilers"/>
      <sheetName val="Part_5_PlannedCatB"/>
      <sheetName val="Part_5_Access"/>
      <sheetName val="Part_5_Labour_OOH "/>
      <sheetName val="Part_5_Additional"/>
      <sheetName val="Part_5_Summary"/>
      <sheetName val="Part_5_Template"/>
      <sheetName val="Part_6"/>
      <sheetName val="Part_7A"/>
      <sheetName val="Part_7B"/>
      <sheetName val="Part_8"/>
      <sheetName val="Part_9"/>
      <sheetName val="Check_List"/>
      <sheetName val="Response"/>
    </sheetNames>
    <sheetDataSet>
      <sheetData sheetId="0" refreshError="1"/>
      <sheetData sheetId="1" refreshError="1"/>
      <sheetData sheetId="2">
        <row r="54">
          <cell r="B54" t="str">
            <v>Yes</v>
          </cell>
        </row>
        <row r="82">
          <cell r="B82">
            <v>65</v>
          </cell>
        </row>
        <row r="83">
          <cell r="B83" t="str">
            <v>N/A</v>
          </cell>
        </row>
        <row r="84">
          <cell r="B84">
            <v>0</v>
          </cell>
        </row>
      </sheetData>
      <sheetData sheetId="3">
        <row r="15">
          <cell r="B15">
            <v>0.5</v>
          </cell>
        </row>
        <row r="37">
          <cell r="B37">
            <v>0.5</v>
          </cell>
        </row>
      </sheetData>
      <sheetData sheetId="4" refreshError="1"/>
      <sheetData sheetId="5">
        <row r="2">
          <cell r="F2" t="str">
            <v>contract</v>
          </cell>
        </row>
      </sheetData>
      <sheetData sheetId="6">
        <row r="2">
          <cell r="H2">
            <v>9</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Contents"/>
      <sheetName val="Project Info"/>
      <sheetName val="Dates"/>
      <sheetName val="Doc_Merge"/>
      <sheetName val="Lookups"/>
      <sheetName val="Questions_Lot_1"/>
      <sheetName val="Questions_Lot_2"/>
      <sheetName val="Lots"/>
      <sheetName val="Part_1"/>
      <sheetName val="Part_2_Lot_1"/>
      <sheetName val="Part_2_Lot_2"/>
      <sheetName val="Part_3_Lot_1"/>
      <sheetName val="Part_3_Lot_2"/>
      <sheetName val="Part_4"/>
      <sheetName val="Part_5_Lot_1_Kitchen Rates"/>
      <sheetName val="Part_5_Lot_1_Bathroom Rates"/>
      <sheetName val="Part_5_Lot_2_Window Styles"/>
      <sheetName val="Part_5_Lot_2_Upvc windows"/>
      <sheetName val="Part_5_Lot_2_Ali windows "/>
      <sheetName val="Part_5_Lot_2_Timber Windows"/>
      <sheetName val="Part_5_Lot_2_Secondary Glazing"/>
      <sheetName val="Part_5_Lot_2_Door_Styles"/>
      <sheetName val="Part_5_Lot_2_Doors"/>
      <sheetName val="Part_5_Lot_2_Door Entry "/>
      <sheetName val="Part_5_Lot_2_Open Book for Door"/>
      <sheetName val="Part_5_Lot_2_Access"/>
      <sheetName val="Part_5_All Lots_NHF %"/>
      <sheetName val="Part_5_All Lots_OPP"/>
      <sheetName val="Part_5_All Lots_Hourly Rates"/>
      <sheetName val="Part_5_Lot_1_Summary"/>
      <sheetName val="Part_5_Lot_2_Summary"/>
      <sheetName val="Part_6_Lot_1"/>
      <sheetName val="Part_6_Lot_2"/>
      <sheetName val="Part_7"/>
      <sheetName val="Part_8"/>
      <sheetName val="Part_9"/>
      <sheetName val="Check_List"/>
      <sheetName val="Output_Lot_1"/>
      <sheetName val="Output_Lot_2"/>
      <sheetName val="Respon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Contents"/>
      <sheetName val="Project Info"/>
      <sheetName val="Dates"/>
      <sheetName val="Doc_Merge"/>
      <sheetName val="Lookups"/>
      <sheetName val="Questions_Lot_1"/>
      <sheetName val="Questions_Lot_2"/>
      <sheetName val="Questions_Lot_3"/>
      <sheetName val="Questions_Lot_4"/>
      <sheetName val="Questions_Lot_5"/>
      <sheetName val="Lots"/>
      <sheetName val="Section_A"/>
      <sheetName val="Section_B_Lot_1"/>
      <sheetName val="Section_B_Lot_2"/>
      <sheetName val="Section_B_Lot_3"/>
      <sheetName val="Section_B_Lot_4"/>
      <sheetName val="Section_B_Lot_5"/>
      <sheetName val="Section_C"/>
      <sheetName val="Section_D"/>
      <sheetName val="Section_E_P,O&amp;P"/>
      <sheetName val="Section_E_Kicthens"/>
      <sheetName val="Section_E_Bathrooms"/>
      <sheetName val="Section_E_Window_Styles"/>
      <sheetName val="Section_E_Door_Styles"/>
      <sheetName val="Section_E_Windows_Lot_2"/>
      <sheetName val="Section_E_Doors_Lot_2"/>
      <sheetName val="Section_E_Windows_Lot_4"/>
      <sheetName val="Section_E_Doors_Lot_4"/>
      <sheetName val="Section_E_Roofing"/>
      <sheetName val="Section_E_Other"/>
      <sheetName val="Section_E_NHF %"/>
      <sheetName val="Section_E_EWI"/>
      <sheetName val="Section_E_Access (All Lots)"/>
      <sheetName val="Section_E_Hourly"/>
      <sheetName val="Section_E_Summary"/>
      <sheetName val="Section_F"/>
      <sheetName val="Section_G"/>
      <sheetName val="Check_List"/>
      <sheetName val="Response"/>
    </sheetNames>
    <sheetDataSet>
      <sheetData sheetId="0"/>
      <sheetData sheetId="1"/>
      <sheetData sheetId="2"/>
      <sheetData sheetId="3"/>
      <sheetData sheetId="4"/>
      <sheetData sheetId="5"/>
      <sheetData sheetId="6"/>
      <sheetData sheetId="7"/>
      <sheetData sheetId="8"/>
      <sheetData sheetId="9"/>
      <sheetData sheetId="10"/>
      <sheetData sheetId="11">
        <row r="8">
          <cell r="D8"/>
        </row>
        <row r="9">
          <cell r="D9"/>
        </row>
        <row r="10">
          <cell r="D10"/>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Contents"/>
      <sheetName val="Project Info"/>
      <sheetName val="Dates"/>
      <sheetName val="Doc_Merge"/>
      <sheetName val="Lot_Lookup"/>
      <sheetName val="Lookups"/>
      <sheetName val="Questions_Lot_1"/>
      <sheetName val="Questions_Lot_2"/>
      <sheetName val="Questions_Lot_3"/>
      <sheetName val="Questions_Lot_4"/>
      <sheetName val="Questions_Lot_5"/>
      <sheetName val="Introduction"/>
      <sheetName val="Notes for completion"/>
      <sheetName val="Lots"/>
      <sheetName val="Part 1_Supplier Info"/>
      <sheetName val="Part 1_Bidding model"/>
      <sheetName val="Part 1_Details &amp; Declaration"/>
      <sheetName val="Part 2_Section 2"/>
      <sheetName val="Part 2_Section 3"/>
      <sheetName val="Part 3_Section 4 &amp; 5"/>
      <sheetName val="Part 3_Section 6_Lot_1"/>
      <sheetName val="Part 3_Section 6_Lot_2"/>
      <sheetName val="Part 3_Section 6_Lot_3"/>
      <sheetName val="Part 3_Section 6_Lot_4"/>
      <sheetName val="Part 3_Section 6_Lot_5"/>
      <sheetName val="Part 3_Section 7"/>
      <sheetName val="Part 3_Section 8"/>
      <sheetName val="Check_List"/>
      <sheetName val="Respon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page"/>
      <sheetName val="Contents"/>
      <sheetName val="QA"/>
      <sheetName val="Project Info"/>
      <sheetName val="0_Doc_Merge"/>
      <sheetName val="LookUp"/>
      <sheetName val="Lot_LookUp"/>
      <sheetName val="Q_LookUp"/>
      <sheetName val="Price_LookUp"/>
      <sheetName val="Price_Tables"/>
      <sheetName val="Contact Details"/>
      <sheetName val="Window Styles"/>
      <sheetName val="PF-UPVC Windows"/>
      <sheetName val="PF-Timber Windows"/>
      <sheetName val="PF-Aluminium Windows"/>
      <sheetName val="PF-Access"/>
      <sheetName val="Door Styles"/>
      <sheetName val="PF-Door Rates"/>
      <sheetName val="PF-Bespoke Rates"/>
      <sheetName val="PF-NHF SOR"/>
      <sheetName val="PF-Specialist Works"/>
      <sheetName val="PF-Miscellaneous"/>
      <sheetName val="Part 6_(X) (10)"/>
      <sheetName val="PF-Summary"/>
      <sheetName val="Response"/>
      <sheetName val="Response_PAS"/>
      <sheetName val="Output"/>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sheetData sheetId="11" refreshError="1"/>
      <sheetData sheetId="12">
        <row r="160">
          <cell r="K160" t="str">
            <v>Missing info</v>
          </cell>
        </row>
      </sheetData>
      <sheetData sheetId="13">
        <row r="158">
          <cell r="K158" t="str">
            <v>Missing info</v>
          </cell>
        </row>
      </sheetData>
      <sheetData sheetId="14">
        <row r="158">
          <cell r="K158" t="str">
            <v>Missing info</v>
          </cell>
        </row>
      </sheetData>
      <sheetData sheetId="15">
        <row r="26">
          <cell r="F26" t="str">
            <v>Missing info</v>
          </cell>
        </row>
      </sheetData>
      <sheetData sheetId="16" refreshError="1"/>
      <sheetData sheetId="17">
        <row r="22">
          <cell r="J22" t="str">
            <v>Missing info</v>
          </cell>
        </row>
        <row r="35">
          <cell r="J35" t="str">
            <v>Missing info</v>
          </cell>
        </row>
        <row r="48">
          <cell r="J48" t="str">
            <v>Missing info</v>
          </cell>
        </row>
        <row r="62">
          <cell r="J62" t="str">
            <v>Missing info</v>
          </cell>
        </row>
      </sheetData>
      <sheetData sheetId="18">
        <row r="42">
          <cell r="F42" t="str">
            <v>Missing info</v>
          </cell>
        </row>
      </sheetData>
      <sheetData sheetId="19"/>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395424E2-C7C7-4D1F-80D8-A3C75BD22F56}" name="TBL_000_Contents_PAS_Open" displayName="TBL_000_Contents_PAS_Open" ref="A4:C27" totalsRowShown="0" headerRowBorderDxfId="1373" tableBorderDxfId="1372">
  <autoFilter ref="A4:C27" xr:uid="{395424E2-C7C7-4D1F-80D8-A3C75BD22F56}"/>
  <tableColumns count="3">
    <tableColumn id="1" xr3:uid="{81B94247-6E82-4793-8894-2C084ADDAC96}" name="Ref" dataDxfId="1371"/>
    <tableColumn id="2" xr3:uid="{9DE284D5-DF55-4CA6-AEE5-3C3CC9D05339}" name="Title" dataDxfId="1370" dataCellStyle="Hyperlink"/>
    <tableColumn id="3" xr3:uid="{C6E446D6-779E-43D5-8422-42815D17317C}" name="Complete?" dataDxfId="1369"/>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D31090EF-82EC-4192-9BD0-FB948E44A9D4}" name="TBL_REF_03_Procedure" displayName="TBL_REF_03_Procedure" ref="A30:B33" totalsRowShown="0" headerRowDxfId="1061" dataDxfId="1059" headerRowBorderDxfId="1060" tableBorderDxfId="1058" totalsRowBorderDxfId="1057">
  <autoFilter ref="A30:B33" xr:uid="{4FDE8544-211F-44CF-A623-120422F5BEA6}"/>
  <sortState xmlns:xlrd2="http://schemas.microsoft.com/office/spreadsheetml/2017/richdata2" ref="A31:B33">
    <sortCondition ref="A30:A33"/>
  </sortState>
  <tableColumns count="2">
    <tableColumn id="1" xr3:uid="{68C41A7E-8CA3-4861-B4A4-3FCC2168A8C4}" name="Procedure" dataDxfId="1056"/>
    <tableColumn id="2" xr3:uid="{B7979986-352C-40CD-9654-F0451B230533}" name="Min. to Tender" dataDxfId="1055"/>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E46BA0F-B9B1-4C41-845E-C65DD22D0C3C}" name="TBL_DATA_01_Lot_Info" displayName="TBL_DATA_01_Lot_Info" ref="A1:S7" totalsRowShown="0" headerRowDxfId="1054" dataDxfId="1052" headerRowBorderDxfId="1053" tableBorderDxfId="1051" totalsRowBorderDxfId="1050">
  <autoFilter ref="A1:S7" xr:uid="{DD4209B4-1491-4EE2-88F8-6B647C4DA2F0}"/>
  <tableColumns count="19">
    <tableColumn id="1" xr3:uid="{1E9365D0-B1AC-48CC-9765-5117883573EC}" name="No" dataDxfId="1049" totalsRowDxfId="1048"/>
    <tableColumn id="19" xr3:uid="{108DE4D6-4731-4471-AC16-463E3E5A10A6}" name="Lot" dataDxfId="1047" totalsRowDxfId="1046"/>
    <tableColumn id="2" xr3:uid="{4F9B99F9-3AE0-4A09-ABC3-769597D9267F}" name="Include?" dataDxfId="1045" totalsRowDxfId="1044">
      <calculatedColumnFormula>IF(OR(AND(REF_Lotted="No", TBL_DATA_01_Lot_Info[[#This Row],[No]]=0), AND(REF_Lotted="Yes", REF_No_Lots&gt;=TBL_DATA_01_Lot_Info[[#This Row],[No]])), "Yes", "No")</calculatedColumnFormula>
    </tableColumn>
    <tableColumn id="3" xr3:uid="{01CBE459-33D7-48B5-837B-EA6308FBF1C5}" name="Name" dataDxfId="1043" totalsRowDxfId="1042">
      <calculatedColumnFormula array="1">IFERROR(IF(TBL_DATA_01_Lot_Info[[#This Row],[Include?]]="Yes", IF(INDEX(TBL_ADD_02_Project_Info[Response], MATCH(1, (TBL_ADD_02_Project_Info[Lot]=TBL_DATA_01_Lot_Info[[#This Row],[Lot]])*(TBL_ADD_02_Project_Info[Ref]=D$1), 0))&lt;&gt;"", INDEX(TBL_ADD_02_Project_Info[Response], MATCH(1, (TBL_ADD_02_Project_Info[Lot]=TBL_DATA_01_Lot_Info[[#This Row],[Lot]])*(TBL_ADD_02_Project_Info[Ref]=D$1), 0)), ""), "N/A"), "N/A")</calculatedColumnFormula>
    </tableColumn>
    <tableColumn id="4" xr3:uid="{AB8EE428-A6C5-4A19-A7BD-6EF79EBEEF5F}" name="Description" dataDxfId="1041" totalsRowDxfId="1040">
      <calculatedColumnFormula array="1">IFERROR(IF(TBL_DATA_01_Lot_Info[[#This Row],[Include?]]="Yes", IF(INDEX(TBL_ADD_02_Project_Info[Response], MATCH(1, (TBL_ADD_02_Project_Info[Lot]=TBL_DATA_01_Lot_Info[[#This Row],[Lot]])*(TBL_ADD_02_Project_Info[Ref]=E$1), 0))&lt;&gt;"", INDEX(TBL_ADD_02_Project_Info[Response], MATCH(1, (TBL_ADD_02_Project_Info[Lot]=TBL_DATA_01_Lot_Info[[#This Row],[Lot]])*(TBL_ADD_02_Project_Info[Ref]=E$1), 0)), ""), "N/A"), "N/A")</calculatedColumnFormula>
    </tableColumn>
    <tableColumn id="18" xr3:uid="{98F01B0A-A3A2-4F75-BE03-07240B6EC834}" name="Props_Approx" dataDxfId="1039" totalsRowDxfId="1038">
      <calculatedColumnFormula array="1">IFERROR(IF(TBL_DATA_01_Lot_Info[[#This Row],[Include?]]="Yes", IF(INDEX(TBL_ADD_02_Project_Info[Response], MATCH(1, (TBL_ADD_02_Project_Info[Lot]=TBL_DATA_01_Lot_Info[[#This Row],[Lot]])*(TBL_ADD_02_Project_Info[Ref]=F$1), 0))&lt;&gt;"", INDEX(TBL_ADD_02_Project_Info[Response], MATCH(1, (TBL_ADD_02_Project_Info[Lot]=TBL_DATA_01_Lot_Info[[#This Row],[Lot]])*(TBL_ADD_02_Project_Info[Ref]=F$1), 0)), ""), "N/A"), "N/A")</calculatedColumnFormula>
    </tableColumn>
    <tableColumn id="5" xr3:uid="{98242086-7000-46E7-86FD-981A89B75B64}" name="Props_No" dataDxfId="1037" totalsRowDxfId="1036">
      <calculatedColumnFormula array="1">IFERROR(IF(TBL_DATA_01_Lot_Info[[#This Row],[Include?]]="Yes", IF(INDEX(TBL_ADD_02_Project_Info[Response], MATCH(1, (TBL_ADD_02_Project_Info[Lot]=TBL_DATA_01_Lot_Info[[#This Row],[Lot]])*(TBL_ADD_02_Project_Info[Ref]=G$1), 0))&lt;&gt;"", INDEX(TBL_ADD_02_Project_Info[Response], MATCH(1, (TBL_ADD_02_Project_Info[Lot]=TBL_DATA_01_Lot_Info[[#This Row],[Lot]])*(TBL_ADD_02_Project_Info[Ref]=G$1), 0)), ""), "N/A"), "N/A")</calculatedColumnFormula>
    </tableColumn>
    <tableColumn id="6" xr3:uid="{AACF5F56-881F-44B1-945A-D5627F366885}" name="Props_Type" dataDxfId="1035" totalsRowDxfId="1034">
      <calculatedColumnFormula array="1">IFERROR(IF(TBL_DATA_01_Lot_Info[[#This Row],[Include?]]="Yes", IF(INDEX(TBL_ADD_02_Project_Info[Response], MATCH(1, (TBL_ADD_02_Project_Info[Lot]=TBL_DATA_01_Lot_Info[[#This Row],[Lot]])*(TBL_ADD_02_Project_Info[Ref]=H$1), 0))&lt;&gt;"", INDEX(TBL_ADD_02_Project_Info[Response], MATCH(1, (TBL_ADD_02_Project_Info[Lot]=TBL_DATA_01_Lot_Info[[#This Row],[Lot]])*(TBL_ADD_02_Project_Info[Ref]=H$1), 0)), ""), "N/A"), "N/A")</calculatedColumnFormula>
    </tableColumn>
    <tableColumn id="7" xr3:uid="{0DDDDD6E-30BA-455D-8C5E-1072080AD920}" name="Value_type" dataDxfId="1033" totalsRowDxfId="1032">
      <calculatedColumnFormula array="1">IFERROR(IF(TBL_DATA_01_Lot_Info[[#This Row],[Include?]]="Yes", IF(INDEX(TBL_ADD_02_Project_Info[Response], MATCH(1, (TBL_ADD_02_Project_Info[Lot]=TBL_DATA_01_Lot_Info[[#This Row],[Lot]])*(TBL_ADD_02_Project_Info[Ref]=I$1), 0))&lt;&gt;"", INDEX(TBL_ADD_02_Project_Info[Response], MATCH(1, (TBL_ADD_02_Project_Info[Lot]=TBL_DATA_01_Lot_Info[[#This Row],[Lot]])*(TBL_ADD_02_Project_Info[Ref]=I$1), 0)), ""), "N/A"), "N/A")</calculatedColumnFormula>
    </tableColumn>
    <tableColumn id="9" xr3:uid="{891A3262-3B79-4C54-8D66-28395D0ED95F}" name="Value_Min" dataDxfId="1031" totalsRowDxfId="1030" dataCellStyle="Currency">
      <calculatedColumnFormula array="1">IFERROR(IF(TBL_DATA_01_Lot_Info[[#This Row],[Include?]]="Yes", IF(INDEX(TBL_ADD_02_Project_Info[Response], MATCH(1, (TBL_ADD_02_Project_Info[Lot]=TBL_DATA_01_Lot_Info[[#This Row],[Lot]])*(TBL_ADD_02_Project_Info[Ref]=J$1), 0))&lt;&gt;"", INDEX(TBL_ADD_02_Project_Info[Response], MATCH(1, (TBL_ADD_02_Project_Info[Lot]=TBL_DATA_01_Lot_Info[[#This Row],[Lot]])*(TBL_ADD_02_Project_Info[Ref]=J$1), 0)), ""), "N/A"), "N/A")</calculatedColumnFormula>
    </tableColumn>
    <tableColumn id="8" xr3:uid="{1CF3CE5E-FCA9-4BBD-8DBD-8746877F3BB2}" name="Value_Max" dataDxfId="1029" totalsRowDxfId="1028" dataCellStyle="Currency">
      <calculatedColumnFormula array="1">IFERROR(IF(TBL_DATA_01_Lot_Info[[#This Row],[Include?]]="Yes", IF(INDEX(TBL_ADD_02_Project_Info[Response], MATCH(1, (TBL_ADD_02_Project_Info[Lot]=TBL_DATA_01_Lot_Info[[#This Row],[Lot]])*(TBL_ADD_02_Project_Info[Ref]=K$1), 0))&lt;&gt;"", INDEX(TBL_ADD_02_Project_Info[Response], MATCH(1, (TBL_ADD_02_Project_Info[Lot]=TBL_DATA_01_Lot_Info[[#This Row],[Lot]])*(TBL_ADD_02_Project_Info[Ref]=K$1), 0)), ""), "N/A"), "N/A")</calculatedColumnFormula>
    </tableColumn>
    <tableColumn id="17" xr3:uid="{6E44E163-9E61-4482-A703-260234FDDB78}" name="ITT_Min" dataDxfId="1027" totalsRowDxfId="1026" dataCellStyle="Currency">
      <calculatedColumnFormula array="1">IFERROR(IF(TBL_DATA_01_Lot_Info[[#This Row],[Include?]]="Yes", IF(INDEX(TBL_ADD_02_Project_Info[Response], MATCH(1, (TBL_ADD_02_Project_Info[Lot]=TBL_DATA_01_Lot_Info[[#This Row],[Lot]])*(TBL_ADD_02_Project_Info[Ref]=L$1), 0))&lt;&gt;"", INDEX(TBL_ADD_02_Project_Info[Response], MATCH(1, (TBL_ADD_02_Project_Info[Lot]=TBL_DATA_01_Lot_Info[[#This Row],[Lot]])*(TBL_ADD_02_Project_Info[Ref]=L$1), 0)), ""), "N/A"), "N/A")</calculatedColumnFormula>
    </tableColumn>
    <tableColumn id="16" xr3:uid="{3CCF9873-8162-4BA7-A03B-2B658054DB8F}" name="ITT_Max" dataDxfId="1025" totalsRowDxfId="1024" dataCellStyle="Currency">
      <calculatedColumnFormula array="1">IFERROR(IF(TBL_DATA_01_Lot_Info[[#This Row],[Include?]]="Yes", IF(INDEX(TBL_ADD_02_Project_Info[Response], MATCH(1, (TBL_ADD_02_Project_Info[Lot]=TBL_DATA_01_Lot_Info[[#This Row],[Lot]])*(TBL_ADD_02_Project_Info[Ref]=M$1), 0))&lt;&gt;"", INDEX(TBL_ADD_02_Project_Info[Response], MATCH(1, (TBL_ADD_02_Project_Info[Lot]=TBL_DATA_01_Lot_Info[[#This Row],[Lot]])*(TBL_ADD_02_Project_Info[Ref]=M$1), 0)), ""), "N/A"), "N/A")</calculatedColumnFormula>
    </tableColumn>
    <tableColumn id="15" xr3:uid="{5D74016A-8706-46E1-BCD0-4637870F6433}" name="Neg_Min" dataDxfId="1023" totalsRowDxfId="1022" dataCellStyle="Currency">
      <calculatedColumnFormula array="1">IFERROR(IF(TBL_DATA_01_Lot_Info[[#This Row],[Include?]]="Yes", IF(INDEX(TBL_ADD_02_Project_Info[Response], MATCH(1, (TBL_ADD_02_Project_Info[Lot]=TBL_DATA_01_Lot_Info[[#This Row],[Lot]])*(TBL_ADD_02_Project_Info[Ref]=N$1), 0))&lt;&gt;"", INDEX(TBL_ADD_02_Project_Info[Response], MATCH(1, (TBL_ADD_02_Project_Info[Lot]=TBL_DATA_01_Lot_Info[[#This Row],[Lot]])*(TBL_ADD_02_Project_Info[Ref]=N$1), 0)), ""), "N/A"), "N/A")</calculatedColumnFormula>
    </tableColumn>
    <tableColumn id="14" xr3:uid="{DE431224-93DD-4CE0-9C09-424162E3BDE8}" name="Neg_Max" dataDxfId="1021" totalsRowDxfId="1020" dataCellStyle="Currency">
      <calculatedColumnFormula array="1">IFERROR(IF(TBL_DATA_01_Lot_Info[[#This Row],[Include?]]="Yes", IF(INDEX(TBL_ADD_02_Project_Info[Response], MATCH(1, (TBL_ADD_02_Project_Info[Lot]=TBL_DATA_01_Lot_Info[[#This Row],[Lot]])*(TBL_ADD_02_Project_Info[Ref]=O$1), 0))&lt;&gt;"", INDEX(TBL_ADD_02_Project_Info[Response], MATCH(1, (TBL_ADD_02_Project_Info[Lot]=TBL_DATA_01_Lot_Info[[#This Row],[Lot]])*(TBL_ADD_02_Project_Info[Ref]=O$1), 0)), ""), "N/A"), "N/A")</calculatedColumnFormula>
    </tableColumn>
    <tableColumn id="13" xr3:uid="{559AB118-B69A-4FB7-BE4A-6067475CA81E}" name="ISFT_Min" dataDxfId="1019" totalsRowDxfId="1018" dataCellStyle="Currency">
      <calculatedColumnFormula array="1">IFERROR(IF(TBL_DATA_01_Lot_Info[[#This Row],[Include?]]="Yes", IF(INDEX(TBL_ADD_02_Project_Info[Response], MATCH(1, (TBL_ADD_02_Project_Info[Lot]=TBL_DATA_01_Lot_Info[[#This Row],[Lot]])*(TBL_ADD_02_Project_Info[Ref]=P$1), 0))&lt;&gt;"", INDEX(TBL_ADD_02_Project_Info[Response], MATCH(1, (TBL_ADD_02_Project_Info[Lot]=TBL_DATA_01_Lot_Info[[#This Row],[Lot]])*(TBL_ADD_02_Project_Info[Ref]=P$1), 0)), ""), "N/A"), "N/A")</calculatedColumnFormula>
    </tableColumn>
    <tableColumn id="10" xr3:uid="{84C2B768-BBF9-44E6-994E-314ED256E5EE}" name="ISFT_Max" dataDxfId="1017" totalsRowDxfId="1016" dataCellStyle="Currency">
      <calculatedColumnFormula array="1">IFERROR(IF(TBL_DATA_01_Lot_Info[[#This Row],[Include?]]="Yes", IF(INDEX(TBL_ADD_02_Project_Info[Response], MATCH(1, (TBL_ADD_02_Project_Info[Lot]=TBL_DATA_01_Lot_Info[[#This Row],[Lot]])*(TBL_ADD_02_Project_Info[Ref]=Q$1), 0))&lt;&gt;"", INDEX(TBL_ADD_02_Project_Info[Response], MATCH(1, (TBL_ADD_02_Project_Info[Lot]=TBL_DATA_01_Lot_Info[[#This Row],[Lot]])*(TBL_ADD_02_Project_Info[Ref]=Q$1), 0)), ""), "N/A"), "N/A")</calculatedColumnFormula>
    </tableColumn>
    <tableColumn id="11" xr3:uid="{AB583B25-3A88-4867-9A67-6DD912B1E68D}" name="Cons_Min" dataDxfId="1015" totalsRowDxfId="1014">
      <calculatedColumnFormula array="1">IFERROR(IF(TBL_DATA_01_Lot_Info[[#This Row],[Include?]]="Yes", IF(INDEX(TBL_ADD_02_Project_Info[Response], MATCH(1, (TBL_ADD_02_Project_Info[Lot]=TBL_DATA_01_Lot_Info[[#This Row],[Lot]])*(TBL_ADD_02_Project_Info[Ref]=R$1), 0))&lt;&gt;"", INDEX(TBL_ADD_02_Project_Info[Response], MATCH(1, (TBL_ADD_02_Project_Info[Lot]=TBL_DATA_01_Lot_Info[[#This Row],[Lot]])*(TBL_ADD_02_Project_Info[Ref]=R$1), 0)), ""), "N/A"), "N/A")</calculatedColumnFormula>
    </tableColumn>
    <tableColumn id="12" xr3:uid="{7718EDD8-EECE-4608-A975-AD0B3D976BEA}" name="Cons_Max" dataDxfId="1013" totalsRowDxfId="1012">
      <calculatedColumnFormula array="1">IFERROR(IF(TBL_DATA_01_Lot_Info[[#This Row],[Include?]]="Yes", IF(INDEX(TBL_ADD_02_Project_Info[Response], MATCH(1, (TBL_ADD_02_Project_Info[Lot]=TBL_DATA_01_Lot_Info[[#This Row],[Lot]])*(TBL_ADD_02_Project_Info[Ref]=S$1), 0))&lt;&gt;"", INDEX(TBL_ADD_02_Project_Info[Response], MATCH(1, (TBL_ADD_02_Project_Info[Lot]=TBL_DATA_01_Lot_Info[[#This Row],[Lot]])*(TBL_ADD_02_Project_Info[Ref]=S$1), 0)), ""), "N/A"), "N/A")</calculatedColumnFormula>
    </tableColumn>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7AB07DDD-0506-41F7-9100-A8D912A6D293}" name="TBL_DATA_02_Q_Info" displayName="TBL_DATA_02_Q_Info" ref="A1:J7" totalsRowShown="0" dataDxfId="1011">
  <autoFilter ref="A1:J7" xr:uid="{7AB07DDD-0506-41F7-9100-A8D912A6D293}"/>
  <tableColumns count="10">
    <tableColumn id="1" xr3:uid="{8340739D-6A02-46D1-8692-4EAEE87E1CA8}" name="No" dataDxfId="1010"/>
    <tableColumn id="2" xr3:uid="{71A86DF0-2F26-4FC7-A587-0766650C338A}" name="Lot" dataDxfId="1009"/>
    <tableColumn id="3" xr3:uid="{F5BCD3C4-D8F7-4465-B07F-BB85FB3A2868}" name="Include?" dataDxfId="1008">
      <calculatedColumnFormula>IF(TBL_DATA_02_Q_Info[[#This Row],[No]]="All", "Yes", IF(AND(REF_Lotted="Yes", REF_No_Lots&gt;=TBL_DATA_02_Q_Info[[#This Row],[No]]), "Yes", "No"))</calculatedColumnFormula>
    </tableColumn>
    <tableColumn id="4" xr3:uid="{DEDF32A1-AEB3-4B39-9BC9-6E82BC0C37D0}" name="Select_Qs" dataDxfId="1007">
      <calculatedColumnFormula array="1">IF(TBL_DATA_02_Q_Info[[#This Row],[Include?]]="Yes", IFERROR(IF(INDEX(TBL_ADD_04_Qs_All[Weighting], MATCH(1, (TBL_ADD_04_Qs_All[Q_No]="Overview")*(TBL_ADD_04_Qs_All[Required?]="Select"), 0))&lt;&gt;"", INDEX(TBL_ADD_04_Qs_All[Weighting], MATCH(1, (TBL_ADD_04_Qs_All[Q_No]="Overview")*(TBL_ADD_04_Qs_All[Required?]="Select"), 0)), "N/A"), "N/A"), "N/A")</calculatedColumnFormula>
    </tableColumn>
    <tableColumn id="5" xr3:uid="{8C2C2AD2-C65F-4022-BDC7-140A88E07879}" name="Select_Points" dataDxfId="1006">
      <calculatedColumnFormula array="1">IF(TBL_DATA_02_Q_Info[[#This Row],[Include?]]="Yes", IFERROR(IF(INDEX(TBL_ADD_04_Qs_All[No.subs], MATCH(1, (TBL_ADD_04_Qs_All[Q_No]="Overview")*(TBL_ADD_04_Qs_All[Required?]="Select"), 0))&lt;&gt;"", INDEX(TBL_ADD_04_Qs_All[No.subs], MATCH(1, (TBL_ADD_04_Qs_All[Q_No]="Overview")*(TBL_ADD_04_Qs_All[Required?]="Select"), 0)), "N/A"), "N/A"), "N/A")</calculatedColumnFormula>
    </tableColumn>
    <tableColumn id="6" xr3:uid="{BCBC3A99-43AC-4ED1-94E4-8B00EDD783D2}" name="Select_Min" dataDxfId="1005">
      <calculatedColumnFormula array="1">IF(TBL_DATA_02_Q_Info[[#This Row],[Include?]]="Yes", IFERROR(IF(INDEX(TBL_ADD_04_Qs_All[Max score], MATCH(1, (TBL_ADD_04_Qs_All[Q_No]="Overview")*(TBL_ADD_04_Qs_All[Required?]="Select"), 0))&lt;&gt;"", INDEX(TBL_ADD_04_Qs_All[Max score], MATCH(1, (TBL_ADD_04_Qs_All[Q_No]="Overview")*(TBL_ADD_04_Qs_All[Required?]="Select"), 0)), "N/A"), "N/A"), "N/A")</calculatedColumnFormula>
    </tableColumn>
    <tableColumn id="7" xr3:uid="{E6C54D50-1D8C-4472-82DD-7A5FD929815E}" name="Tech_Qs" dataDxfId="1004">
      <calculatedColumnFormula array="1">IF(TBL_DATA_02_Q_Info[[#This Row],[Include?]]="Yes", IFERROR(IF(INDEX(TBL_ADD_04_Qs_All[Weighting], MATCH(1, (TBL_ADD_04_Qs_All[Q_No]="Overview")*(TBL_ADD_04_Qs_All[Required?]="Tech"), 0))&lt;&gt;"", INDEX(TBL_ADD_04_Qs_All[Weighting], MATCH(1, (TBL_ADD_04_Qs_All[Q_No]="Overview")*(TBL_ADD_04_Qs_All[Required?]="Tech"), 0)), "N/A"), "N/A"), "N/A")</calculatedColumnFormula>
    </tableColumn>
    <tableColumn id="8" xr3:uid="{9462E03D-B393-47C1-8521-67DF6B7EF766}" name="Tech_Points" dataDxfId="1003">
      <calculatedColumnFormula array="1">IF(TBL_DATA_02_Q_Info[[#This Row],[Include?]]="Yes", IFERROR(IF(INDEX(TBL_ADD_04_Qs_All[No.subs], MATCH(1, (TBL_ADD_04_Qs_All[Q_No]="Overview")*(TBL_ADD_04_Qs_All[Required?]="Tech"), 0))&lt;&gt;"", INDEX(TBL_ADD_04_Qs_All[No.subs], MATCH(1, (TBL_ADD_04_Qs_All[Q_No]="Overview")*(TBL_ADD_04_Qs_All[Required?]="Tech"), 0)), "N/A"), "N/A"), "N/A")</calculatedColumnFormula>
    </tableColumn>
    <tableColumn id="9" xr3:uid="{67256856-57A5-43CF-98FA-047503C1B1C0}" name="IntSV_Qs" dataDxfId="1002">
      <calculatedColumnFormula array="1">IF(TBL_DATA_02_Q_Info[[#This Row],[Include?]]="Yes", IFERROR(IF(INDEX(TBL_ADD_04_Qs_All[Weighting], MATCH(1, (TBL_ADD_04_Qs_All[Q_No]="Overview")*(TBL_ADD_04_Qs_All[Required?]="IntSV"), 0))&lt;&gt;"", INDEX(TBL_ADD_04_Qs_All[Weighting], MATCH(1, (TBL_ADD_04_Qs_All[Q_No]="Overview")*(TBL_ADD_04_Qs_All[Required?]="IntSV"), 0)), "N/A"), "N/A"), "N/A")</calculatedColumnFormula>
    </tableColumn>
    <tableColumn id="10" xr3:uid="{50BBE715-9407-4782-A317-4B96F57F4C98}" name="IntSV_Points" dataDxfId="1001">
      <calculatedColumnFormula array="1">IF(TBL_DATA_02_Q_Info[[#This Row],[Include?]]="Yes", IFERROR(IF(INDEX(TBL_ADD_04_Qs_All[No.subs], MATCH(1, (TBL_ADD_04_Qs_All[Q_No]="Overview")*(TBL_ADD_04_Qs_All[Required?]="IntSV"), 0))&lt;&gt;"", INDEX(TBL_ADD_04_Qs_All[No.subs], MATCH(1, (TBL_ADD_04_Qs_All[Q_No]="Overview")*(TBL_ADD_04_Qs_All[Required?]="IntSV"), 0)), "N/A"), "N/A"), "N/A")</calculatedColumnFormula>
    </tableColumn>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DB74639C-CE15-44AE-8D97-C814EA2470AB}" name="TBL_DATA_16_Price_Info" displayName="TBL_DATA_16_Price_Info" ref="A1:G61" totalsRowShown="0" dataDxfId="1000" tableBorderDxfId="999">
  <autoFilter ref="A1:G61" xr:uid="{DB74639C-CE15-44AE-8D97-C814EA2470AB}"/>
  <tableColumns count="7">
    <tableColumn id="1" xr3:uid="{E1268D24-E4FF-4C1B-8EE3-9A01319D9EAB}" name="No" dataDxfId="998"/>
    <tableColumn id="2" xr3:uid="{6D893E7A-1962-4476-A89F-AC7C6F806C68}" name="Lot" dataDxfId="997"/>
    <tableColumn id="3" xr3:uid="{4F0CDFD4-02CD-4B2D-9613-3E0240E72950}" name="Include?" dataDxfId="996">
      <calculatedColumnFormula>IF(TBL_DATA_16_Price_Info[[#This Row],[No]]="All", "Yes", IF(AND(REF_Lotted="Yes", REF_No_Lots&gt;=TBL_DATA_16_Price_Info[[#This Row],[No]]), "Yes", "No"))</calculatedColumnFormula>
    </tableColumn>
    <tableColumn id="34" xr3:uid="{0BACEAA0-F6A5-43A3-ACE0-058E1338F125}" name="Ref" dataDxfId="995"/>
    <tableColumn id="4" xr3:uid="{8401853D-241F-4AB0-96A6-ECA736F49FF5}" name="Score" dataDxfId="994">
      <calculatedColumnFormula array="1">IF(TBL_DATA_16_Price_Info[[#This Row],[Include?]]="Yes", IFERROR(IF(INDEX(TBL_ADD_05_Prices_All[Maximum points available], MATCH(1, (TBL_ADD_05_Prices_All[Ref]=D$2)*(TBL_ADD_05_Prices_All[Check_1]=""), 0))&lt;&gt;"", INDEX(TBL_ADD_05_Prices_All[Maximum points available], MATCH(1, (TBL_ADD_05_Prices_All[Ref]=D$2)*(TBL_ADD_05_Prices_All[Check_1]=""), 0)), "N/A"), "N/A"), "N/A")</calculatedColumnFormula>
    </tableColumn>
    <tableColumn id="14" xr3:uid="{A78EDD6A-693C-43F8-BCF0-1B0921502206}" name="Full_Name" dataDxfId="993">
      <calculatedColumnFormula array="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"N/A"),
TBL_DATA_16_Price_Info[[#This Row],[Lot]]="Lot_1", IF(INDEX(#REF!, MATCH(1, (#REF!=TBL_DATA_16_Price_Info[[#This Row],[Ref]])*(#REF!=""), 0))&lt;&gt;"", INDEX(#REF!, MATCH(1, (#REF!=TBL_DATA_16_Price_Info[[#This Row],[Ref]])*(#REF!=""), 0)), "N/A"),
TBL_DATA_16_Price_Info[[#This Row],[Lot]]="Lot_2", IF(INDEX(#REF!, MATCH(1, (#REF!=TBL_DATA_16_Price_Info[[#This Row],[Ref]])*(#REF!=""), 0))&lt;&gt;"", INDEX(#REF!, MATCH(1, (#REF!=TBL_DATA_16_Price_Info[[#This Row],[Ref]])*(#REF!=""), 0)), "N/A"),
TBL_DATA_16_Price_Info[[#This Row],[Lot]]="Lot_3", IF(INDEX(#REF!, MATCH(1, (#REF!=TBL_DATA_16_Price_Info[[#This Row],[Ref]])*(#REF!=""), 0))&lt;&gt;"", INDEX(#REF!, MATCH(1, (#REF!=TBL_DATA_16_Price_Info[[#This Row],[Ref]])*(#REF!=""), 0)), "N/A"),
TBL_DATA_16_Price_Info[[#This Row],[Lot]]="Lot_4", IF(INDEX(#REF!, MATCH(1, (#REF!=TBL_DATA_16_Price_Info[[#This Row],[Ref]])*(#REF!=""), 0))&lt;&gt;"", INDEX(#REF!, MATCH(1, (#REF!=TBL_DATA_16_Price_Info[[#This Row],[Ref]])*(#REF!=""), 0)), "N/A"),
TBL_DATA_16_Price_Info[[#This Row],[Lot]]="Lot_5", IF(INDEX(#REF!, MATCH(1, (#REF!=TBL_DATA_16_Price_Info[[#This Row],[Ref]])*(#REF!=""), 0))&lt;&gt;"", INDEX(#REF!, MATCH(1, (#REF!=TBL_DATA_16_Price_Info[[#This Row],[Ref]])*(#REF!=""), 0)), "N/A")),
"N/A"), "N/A")</calculatedColumnFormula>
    </tableColumn>
    <tableColumn id="24" xr3:uid="{AB6BAD56-0146-4173-B32C-DA5650517870}" name="Short_Name" dataDxfId="992">
      <calculatedColumnFormula array="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"N/A"),
TBL_DATA_16_Price_Info[[#This Row],[Lot]]="Lot_1", IF(INDEX(#REF!, MATCH(1, (#REF!=TBL_DATA_16_Price_Info[[#This Row],[Ref]])*(#REF!=""), 0))&lt;&gt;"", INDEX(#REF!, MATCH(1, (#REF!=TBL_DATA_16_Price_Info[[#This Row],[Ref]])*(#REF!=""), 0)), "N/A"),
TBL_DATA_16_Price_Info[[#This Row],[Lot]]="Lot_2", IF(INDEX(#REF!, MATCH(1, (#REF!=TBL_DATA_16_Price_Info[[#This Row],[Ref]])*(#REF!=""), 0))&lt;&gt;"", INDEX(#REF!, MATCH(1, (#REF!=TBL_DATA_16_Price_Info[[#This Row],[Ref]])*(#REF!=""), 0)), "N/A"),
TBL_DATA_16_Price_Info[[#This Row],[Lot]]="Lot_3", IF(INDEX(#REF!, MATCH(1, (#REF!=TBL_DATA_16_Price_Info[[#This Row],[Ref]])*(#REF!=""), 0))&lt;&gt;"", INDEX(#REF!, MATCH(1, (#REF!=TBL_DATA_16_Price_Info[[#This Row],[Ref]])*(#REF!=""), 0)), "N/A"),
TBL_DATA_16_Price_Info[[#This Row],[Lot]]="Lot_4", IF(INDEX(#REF!, MATCH(1, (#REF!=TBL_DATA_16_Price_Info[[#This Row],[Ref]])*(#REF!=""), 0))&lt;&gt;"", INDEX(#REF!, MATCH(1, (#REF!=TBL_DATA_16_Price_Info[[#This Row],[Ref]])*(#REF!=""), 0)), "N/A"),
TBL_DATA_16_Price_Info[[#This Row],[Lot]]="Lot_5", IF(INDEX(#REF!, MATCH(1, (#REF!=TBL_DATA_16_Price_Info[[#This Row],[Ref]])*(#REF!=""), 0))&lt;&gt;"", INDEX(#REF!, MATCH(1, (#REF!=TBL_DATA_16_Price_Info[[#This Row],[Ref]])*(#REF!=""), 0)), "N/A")),
"N/A"), "N/A")</calculatedColumnFormula>
    </tableColumn>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9121434-E388-4C24-AF4F-AEF26A000CE0}" name="TBL_ADD_05_Prices_All" displayName="TBL_ADD_05_Prices_All" ref="A4:F14" totalsRowShown="0" headerRowBorderDxfId="991" tableBorderDxfId="990" totalsRowBorderDxfId="989">
  <autoFilter ref="A4:F14" xr:uid="{B9121434-E388-4C24-AF4F-AEF26A000CE0}"/>
  <tableColumns count="6">
    <tableColumn id="5" xr3:uid="{AC05DBA9-FD3A-41C1-871C-A2EB09556994}" name="Check_1" dataDxfId="988">
      <calculatedColumnFormula>IF(TBL_ADD_05_Prices_All[[#This Row],[Description]]&lt;&gt;"", IF(REF_Lotted="No", IF(OR(TBL_ADD_05_Prices_All[[#This Row],[Maximum points available]]=0, TBL_ADD_05_Prices_All[[#This Row],[Maximum points available]]&lt;&gt;""), "", "Add"), "Shade"), "")</calculatedColumnFormula>
    </tableColumn>
    <tableColumn id="6" xr3:uid="{3CE98FB1-9A6B-4E1E-8851-83F2B0FAEF5B}" name="Check_2" dataDxfId="987">
      <calculatedColumnFormula>IF(TBL_ADD_05_Prices_All[[#This Row],[Check_1]]="Shade", "", IF(TBL_ADD_05_Prices_All[[#This Row],[Description]]&lt;&gt;"", IF(TBL_ADD_05_Prices_All[[#This Row],[Abbreviated description]]&lt;&gt;"", "", "Add"), ""))</calculatedColumnFormula>
    </tableColumn>
    <tableColumn id="1" xr3:uid="{E64F76A3-7988-464C-A9EE-04B85D943143}" name="Ref" dataDxfId="986"/>
    <tableColumn id="2" xr3:uid="{92517727-1B3E-40B1-B472-60494BDEC832}" name="Description" dataDxfId="985"/>
    <tableColumn id="3" xr3:uid="{C4EED027-B943-4FD8-B99E-3F2AA520762E}" name="Maximum points available" dataDxfId="984"/>
    <tableColumn id="4" xr3:uid="{D225ABCB-2E29-4801-A8B2-6D95D1B37308}" name="Abbreviated description" dataDxfId="983"/>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CDBE1A1E-4FD6-43B7-99EC-14D6B693C2E2}" name="TBL_ADD_04_Qs_All" displayName="TBL_ADD_04_Qs_All" ref="A3:O314" totalsRowShown="0" headerRowDxfId="982" dataDxfId="981" tableBorderDxfId="980">
  <autoFilter ref="A3:O314" xr:uid="{25D729DB-9EA0-409D-B89A-1EDA2BD50D57}"/>
  <tableColumns count="15">
    <tableColumn id="1" xr3:uid="{0061D8A6-F56D-492E-AAC0-AB6A70CC9ED3}" name="Q." dataDxfId="979"/>
    <tableColumn id="2" xr3:uid="{101C4EEE-B802-4C60-BDC8-FC09FF78124F}" name="Question / Sub-question" dataDxfId="978"/>
    <tableColumn id="3" xr3:uid="{6CEF711D-8BC7-4A6C-9F50-CD740709CB13}" name="Maximum marks available" dataDxfId="977">
      <calculatedColumnFormula>IF(#REF!="Overview", "-", IF(AND(#REF!="Question", OR(#REF!="Not used",#REF!= 0)), "Not used", IF(#REF!="Sub-question", IF(#REF!="Not used", "-", REF_marks), CONCATENATE("The maximum score for ",#REF!, " is ",#REF!, ".00 marks (",#REF!, " elements x ", REF_marks,".00 marks)", IF(OR(AND(#REF!="Selection", REF_Select_Weighted="Yes"), AND(#REF!="Tech", REF_Tech_Weighted="Yes"), AND(#REF!=REF_Int_or_SV, REF_IntSV_Weighted="Yes")), IF(#REF!&lt;&gt;"", CONCATENATE(" which in turn, will be weighted to a maximum of ",#REF!, ".00 points."), ""), "")))))</calculatedColumnFormula>
    </tableColumn>
    <tableColumn id="10" xr3:uid="{D8CD5D0A-044E-45C9-B37A-EB6342EB9175}" name="App_sub-qs" dataDxfId="976"/>
    <tableColumn id="7" xr3:uid="{029DE651-AC08-4D05-A5AD-A96417D5BB65}" name="App_pages" dataDxfId="975"/>
    <tableColumn id="6" xr3:uid="{B39799D5-6F08-4444-AE97-9B974D046A3B}" name="Word limit" dataDxfId="974"/>
    <tableColumn id="11" xr3:uid="{B8E43179-EC04-47AC-A966-396CECC12DD2}" name="Weighting" dataDxfId="973">
      <calculatedColumnFormula>IF(#REF!="No", "-", IF(#REF!="Overview", SUM(COUNTIFS(#REF!,#REF!,#REF!, "Question")-IF(#REF!="Selection", IF(REF_CCS_Q="Yes", 2, 0), 0))- COUNTIFS(#REF!, "Not used",#REF!, "Question",#REF!,#REF!), IF(#REF!="Question", IF(OR(AND(#REF!="Selection", REF_Select_Weighted="Yes"), AND(#REF!="Tech", REF_Tech_Weighted="Yes"), AND(#REF!="IntSV", REF_IntSV_Weighted="Yes")), "", "N/A"), "-")))</calculatedColumnFormula>
    </tableColumn>
    <tableColumn id="4" xr3:uid="{D9D2D140-4F47-4E7C-94D7-411FE8097239}" name="No.subs" dataDxfId="972">
      <calculatedColumnFormula>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calculatedColumnFormula>
    </tableColumn>
    <tableColumn id="5" xr3:uid="{7BE68736-931E-4BAC-9069-67FDBFD263DC}" name="Max score" dataDxfId="971">
      <calculatedColumnFormula array="1">IF(#REF!="No", "-", IF(AND(#REF!="Overview",#REF!= "Selection"), IF(REF_Select_Weighted="Yes", 50, INDEX(TBL_DATA_02_Q_Info[Select_Points], MATCH(1, (TBL_DATA_02_Q_Info[Lot]="Lot_5")*(TBL_DATA_02_Q_Info[Include?]="Yes"), 0))/2), IF(#REF!="Question",#REF!* REF_marks, "-")))</calculatedColumnFormula>
    </tableColumn>
    <tableColumn id="15" xr3:uid="{5B726E7A-C15C-4197-8D87-5DC1B567EB0D}" name="Type" dataDxfId="970"/>
    <tableColumn id="8" xr3:uid="{1BAF241F-C2DB-439D-895D-42490B276EEC}" name="Q_No" dataDxfId="969"/>
    <tableColumn id="9" xr3:uid="{2E08DDDE-17C2-45B9-82D7-B4DFD0F2BE8F}" name="Sub_No" dataDxfId="968"/>
    <tableColumn id="14" xr3:uid="{BD5CBBED-1E82-467B-ACF7-D043833ED63F}" name="Section" dataDxfId="967"/>
    <tableColumn id="12" xr3:uid="{084B2816-55DD-42C8-8287-805F20DB11F5}" name="Required?" dataDxfId="966">
      <calculatedColumnFormula>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calculatedColumnFormula>
    </tableColumn>
    <tableColumn id="13" xr3:uid="{A2270A62-578C-4D8C-847A-FC367EF28D67}" name="Q_Limit" dataDxfId="965">
      <calculatedColumnFormula>IF(#REF!="Question", IF(OR(#REF!=0,#REF!= "-"), "-", $T$1&amp;#REF!&amp;$U$1&amp;#REF!&amp;$V$1&amp;IF(AND(#REF!&lt;&gt;"",#REF!&lt;&gt; ""), IF(OR(#REF!="N/A",#REF!= "N/A"), "-", CONCATENATE($W$1,#REF!, " side", IF(#REF!=1, "", "s"), $X$1,#REF!* 2, $Y$1,#REF!, ".")), "")), "-")</calculatedColumnFormula>
    </tableColumn>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6E11066-F833-4651-A990-982ECBD1240F}" name="TBL_Q_05_PAS_C1" displayName="TBL_Q_05_PAS_C1" ref="A8:J52" totalsRowShown="0" headerRowDxfId="964" dataDxfId="963" tableBorderDxfId="962">
  <autoFilter ref="A8:J52" xr:uid="{5DD44CA0-DE87-459F-987E-E4304CCAF099}"/>
  <tableColumns count="10">
    <tableColumn id="1" xr3:uid="{735AC834-AE1E-4856-92BA-B48DE85BB53A}" name="Q. ref" dataDxfId="961"/>
    <tableColumn id="2" xr3:uid="{908601BA-77A6-4BFE-B82A-7CC1B8A09717}" name="Nature of information" dataDxfId="960"/>
    <tableColumn id="3" xr3:uid="{84B81DBF-F0D3-4D49-B910-31DBE3E3CE6C}" name="Description of response expected, which will be taken into account in assessment" dataDxfId="959"/>
    <tableColumn id="4" xr3:uid="{C4011076-643D-403C-9C42-DF6233B54448}" name="Response" dataDxfId="958" dataCellStyle="Hyperlink"/>
    <tableColumn id="9" xr3:uid="{65F4B3CA-5A09-4154-8F73-1DA3D85230CF}" name="Index_Ref" dataDxfId="957" dataCellStyle="Hyperlink"/>
    <tableColumn id="11" xr3:uid="{71D28F7C-BE35-4865-92D9-9C01D5140514}" name="Ref" dataDxfId="956" dataCellStyle="Hyperlink"/>
    <tableColumn id="10" xr3:uid="{170802D4-EA82-4B8D-A88C-2595886CCED3}" name="Include?" dataDxfId="955" dataCellStyle="Hyperlink"/>
    <tableColumn id="5" xr3:uid="{54B63CA7-F157-4AD7-AC95-4647DFF88C89}" name="Response?" dataDxfId="954"/>
    <tableColumn id="6" xr3:uid="{2F7C2945-1F00-48A1-A495-EAFDE95BDE00}" name="Shade" dataDxfId="953"/>
    <tableColumn id="7" xr3:uid="{783CA51A-15D5-4E2F-A725-2A25DB9E1D28}" name="Check" dataDxfId="952">
      <calculatedColumnFormula>IF(TBL_Q_05_PAS_C1[[#This Row],[Shade]]="Shade", "", IF(TBL_Q_05_PAS_C1[[#This Row],[Response?]]="Yes", IF(TBL_Q_05_PAS_C1[[#This Row],[Response]]&lt;&gt;"", "Done", "Add"), IF(TBL_Q_05_PAS_C1[[#This Row],[Response]]&lt;&gt;"", "Done", "")))</calculatedColumnFormula>
    </tableColumn>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5FFCE15B-F54C-4B7F-A524-D90C4F1C8305}" name="TBL_Q_05_PAS_C2_A" displayName="TBL_Q_05_PAS_C2_A" ref="A8:L14" totalsRowShown="0" headerRowDxfId="951" dataDxfId="949" headerRowBorderDxfId="950" tableBorderDxfId="948" totalsRowBorderDxfId="947">
  <autoFilter ref="A8:L14" xr:uid="{5DD44CA0-DE87-459F-987E-E4304CCAF099}"/>
  <tableColumns count="12">
    <tableColumn id="1" xr3:uid="{5C1A114D-EB49-46CC-8EEC-B1CFBA0EFA05}" name="Q. ref" dataDxfId="946"/>
    <tableColumn id="2" xr3:uid="{76810BF7-6C9A-4F1E-9E9D-8CE2812D553C}" name="Nature of information" dataDxfId="945"/>
    <tableColumn id="3" xr3:uid="{B3C098B0-E99B-4EE8-89AA-D1A82F6531D1}" name="Description of response expected, which will be taken into account in assessment" dataDxfId="944"/>
    <tableColumn id="4" xr3:uid="{40594E93-DB58-4AF7-9AF7-F73D0EF02879}" name="Response" dataDxfId="943" dataCellStyle="Hyperlink"/>
    <tableColumn id="12" xr3:uid="{509B691E-80F4-4E76-A843-9A4E13382EEB}" name="Supplier’s unique reference to supporting information" dataDxfId="942" dataCellStyle="Hyperlink"/>
    <tableColumn id="9" xr3:uid="{F2A30E96-E629-4A45-B4E0-C2F6BC18B71C}" name="Index_Ref" dataDxfId="941" dataCellStyle="Hyperlink"/>
    <tableColumn id="11" xr3:uid="{6D108E24-BCCC-4CD5-AC94-3FA6D7A7F215}" name="Ref" dataDxfId="940" dataCellStyle="Hyperlink"/>
    <tableColumn id="10" xr3:uid="{B107AFC7-6576-4B24-8795-318E8A2966B3}" name="Include?" dataDxfId="939" dataCellStyle="Hyperlink"/>
    <tableColumn id="5" xr3:uid="{21168782-F5AE-4782-A788-E543449825DE}" name="Response?" dataDxfId="938"/>
    <tableColumn id="6" xr3:uid="{B797F019-1EF4-4A53-8863-E9937DB99EAA}" name="Shade" dataDxfId="937">
      <calculatedColumnFormula>IF(TBL_Q_05_PAS_C2_A[[#This Row],[Response]]="Enclosed", "", IF(COUNTIF(TBL_Q_05_PAS_C2_A[Response], "Enclosed")&gt;0, "Shade", ""))</calculatedColumnFormula>
    </tableColumn>
    <tableColumn id="7" xr3:uid="{A25AE29A-8959-4F1D-9E5B-18818B71ADBC}" name="Check_1" dataDxfId="936">
      <calculatedColumnFormula>IF(TBL_Q_05_PAS_C2_A[[#This Row],[Response]]&lt;&gt;"", "Done", IF(COUNTIF(TBL_Q_05_PAS_C2_A[Response], "Enclosed")&gt;0, "", "Add"))</calculatedColumnFormula>
    </tableColumn>
    <tableColumn id="8" xr3:uid="{D4C9D4B6-BEFA-4400-898E-D7FB5E933928}" name="Check_2" dataDxfId="935"/>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9B6A06A6-0777-4843-9298-FB70861203B7}" name="TBL_Q_05_PAS_C2_B" displayName="TBL_Q_05_PAS_C2_B" ref="A16:K35" totalsRowShown="0" headerRowDxfId="934" dataDxfId="932" headerRowBorderDxfId="933" tableBorderDxfId="931" totalsRowBorderDxfId="930">
  <autoFilter ref="A16:K35" xr:uid="{1E361E08-08A0-400E-A532-5D0A260E8BA6}"/>
  <tableColumns count="11">
    <tableColumn id="1" xr3:uid="{DBFA3159-2468-4E5B-BE82-AFDF0D0D11B8}" name="Q. ref" dataDxfId="929"/>
    <tableColumn id="2" xr3:uid="{2C19A70E-2738-4F21-9697-967B3843D89B}" name="Nature of information" dataDxfId="928"/>
    <tableColumn id="3" xr3:uid="{5449C622-2699-4C9A-81D5-04E0DEE22754}" name="Type" dataDxfId="927"/>
    <tableColumn id="4" xr3:uid="{8FAE7117-FFF1-44D6-BDD4-D22DBB7D8D71}" name="Information requested" dataDxfId="926" dataCellStyle="Hyperlink"/>
    <tableColumn id="12" xr3:uid="{73524B2D-888D-4F20-AF95-257655532AAF}" name="Response" dataDxfId="925" dataCellStyle="Hyperlink"/>
    <tableColumn id="9" xr3:uid="{D3D72AEB-5A05-4928-9927-59AB961C221C}" name="Index_Ref" dataDxfId="924" dataCellStyle="Hyperlink"/>
    <tableColumn id="11" xr3:uid="{B9C038FA-9A93-4D22-B3FB-EA660DC7048C}" name="Ref" dataDxfId="923" dataCellStyle="Hyperlink"/>
    <tableColumn id="10" xr3:uid="{B53A2492-94A5-42D6-8840-1E6CD2E4EB8C}" name="Include?" dataDxfId="922" dataCellStyle="Hyperlink"/>
    <tableColumn id="5" xr3:uid="{3FFC7726-FC56-4A43-81C6-B23B1E779EC4}" name="Response?" dataDxfId="921"/>
    <tableColumn id="6" xr3:uid="{6488FFE1-F009-474C-ABA8-A0973EF12EBB}" name="Shade" dataDxfId="920">
      <calculatedColumnFormula>IF(AND(TBL_Q_05_PAS_C2_B[[#This Row],[Include?]]="Yes", TBL_Q_05_PAS_C2_B[[#This Row],[Response?]]="Yes"), "", "Shade")</calculatedColumnFormula>
    </tableColumn>
    <tableColumn id="7" xr3:uid="{769E942F-5E70-4E0F-B14F-C0C82FBE05B5}" name="Check" dataDxfId="919">
      <calculatedColumnFormula>IF(TBL_Q_05_PAS_C2_B[[#This Row],[Shade]]="Shade", "", IF(TBL_Q_05_PAS_C2_B[[#This Row],[Response]]&lt;&gt;"", "Done", "Add"))</calculatedColumnFormula>
    </tableColumn>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E97F4181-B018-41D8-89CB-E7EEE7923703}" name="TBL_Q_05_PAS_C3_B" displayName="TBL_Q_05_PAS_C3_B" ref="A18:I28" totalsRowShown="0" headerRowDxfId="918" dataDxfId="916" headerRowBorderDxfId="917" tableBorderDxfId="915" totalsRowBorderDxfId="914">
  <autoFilter ref="A18:I28" xr:uid="{5DD44CA0-DE87-459F-987E-E4304CCAF099}"/>
  <tableColumns count="9">
    <tableColumn id="1" xr3:uid="{3D8228B7-146C-45EF-951D-29E915468B33}" name="Q. ref" dataDxfId="913"/>
    <tableColumn id="2" xr3:uid="{12A76D47-6FD1-45C6-9A49-075215DA666D}" name="Question" dataDxfId="912"/>
    <tableColumn id="4" xr3:uid="{B06849E9-F90B-4E86-827E-E72DE19BA80D}" name="Response" dataDxfId="911" dataCellStyle="Hyperlink"/>
    <tableColumn id="9" xr3:uid="{59997982-C462-4869-8EB5-2291A94A29A0}" name="Index_Ref" dataDxfId="910" dataCellStyle="Hyperlink"/>
    <tableColumn id="11" xr3:uid="{798F3E64-09F0-4217-B426-CE0ED2BE4685}" name="Ref" dataDxfId="909" dataCellStyle="Hyperlink"/>
    <tableColumn id="10" xr3:uid="{04D894DF-EB33-4D89-A156-4799A5AB556D}" name="Include?" dataDxfId="908" dataCellStyle="Hyperlink"/>
    <tableColumn id="5" xr3:uid="{35A63CCC-B80B-4139-AFB9-D9664E2BF75C}" name="Response?" dataDxfId="907">
      <calculatedColumnFormula>IF($C$10="Yes", "No", "Yes")</calculatedColumnFormula>
    </tableColumn>
    <tableColumn id="6" xr3:uid="{EBE4A2B8-A392-4F91-9F6E-C5C30C02ADBC}" name="Shade" dataDxfId="906">
      <calculatedColumnFormula>IF(AND(TBL_Q_05_PAS_C3_B[[#This Row],[Include?]]="Yes", TBL_Q_05_PAS_C3_B[[#This Row],[Response?]]="Yes"), "", "Shade")</calculatedColumnFormula>
    </tableColumn>
    <tableColumn id="7" xr3:uid="{E8231E93-F81E-4EE0-A7DB-A5DE8212FA16}" name="Check" dataDxfId="905">
      <calculatedColumnFormula>IF(TBL_Q_05_PAS_C3_B[[#This Row],[Shade]]="Shade", "", IF(TBL_Q_05_PAS_C3_B[[#This Row],[Response]]&lt;&gt;"", "Done", "Add"))</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642FB340-0BD3-4A96-9E30-8D39D2E816A3}" name="TBL_REF_07_PAS_Open_CheckList" displayName="TBL_REF_07_PAS_Open_CheckList" ref="A22:H140" totalsRowShown="0" headerRowDxfId="1368" dataDxfId="1366" headerRowBorderDxfId="1367" tableBorderDxfId="1365" totalsRowBorderDxfId="1364">
  <autoFilter ref="A22:H140" xr:uid="{97A22BF0-AEC0-4074-B106-C501F381126A}"/>
  <tableColumns count="8">
    <tableColumn id="1" xr3:uid="{27CF0841-CF64-4A5E-9A7D-4B7D9A89981B}" name="Q. Ref" dataDxfId="1363"/>
    <tableColumn id="2" xr3:uid="{401240BE-3F35-48F7-B285-88C4F8842997}" name="Description" dataDxfId="1362"/>
    <tableColumn id="3" xr3:uid="{6D646BDC-4851-47D1-82B8-B91F6C1846B3}" name="Enclosed?" dataDxfId="1361"/>
    <tableColumn id="4" xr3:uid="{47F8E9F0-4E29-476C-BCF7-74EE8F874E25}" name="Required?" dataDxfId="1360"/>
    <tableColumn id="5" xr3:uid="{6B610FE3-D35B-4612-8088-0161B38F1C85}" name="Check" dataDxfId="1359">
      <calculatedColumnFormula>IF(TBL_REF_07_PAS_Open_CheckList[[#This Row],[Required?]]="N/A", "", IF(TBL_REF_07_PAS_Open_CheckList[[#This Row],[Required?]]="No", "Shade", IF(TBL_REF_07_PAS_Open_CheckList[[#This Row],[Enclosed?]]&lt;&gt;"", "Done", "Add")))</calculatedColumnFormula>
    </tableColumn>
    <tableColumn id="6" xr3:uid="{2D05428D-1308-4B4D-9AFC-57FF9BDBFC80}" name="TBL" dataDxfId="1358"/>
    <tableColumn id="7" xr3:uid="{BC776B09-353A-4243-89C7-C65510DC9F04}" name="Index_Ref" dataDxfId="1357"/>
    <tableColumn id="8" xr3:uid="{44C3B974-8F38-491B-8FF7-82CADB3BED17}" name="Ref" dataDxfId="1356"/>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19269801-15A6-4CDB-851A-F45EF521BA53}" name="TBL_Q_05_PAS_C3_C" displayName="TBL_Q_05_PAS_C3_C" ref="A34:I41" totalsRowShown="0" headerRowDxfId="904" dataDxfId="902" headerRowBorderDxfId="903" tableBorderDxfId="901" totalsRowBorderDxfId="900">
  <autoFilter ref="A34:I41" xr:uid="{5AAE4DF7-E128-4A38-A73D-54DDFDEC53C8}"/>
  <tableColumns count="9">
    <tableColumn id="1" xr3:uid="{AB10E1E7-AA98-42D2-B08B-8962A741094B}" name="Q. ref" dataDxfId="899"/>
    <tableColumn id="2" xr3:uid="{D187773B-3163-471D-9029-6CDCFE39E4E4}" name="Question" dataDxfId="898"/>
    <tableColumn id="4" xr3:uid="{5D13DC11-5BAC-4FC9-BD15-71C0171E2807}" name="Response" dataDxfId="897" dataCellStyle="Hyperlink"/>
    <tableColumn id="9" xr3:uid="{E8426267-50D4-4791-B815-024D35D319CD}" name="Index_Ref" dataDxfId="896" dataCellStyle="Hyperlink"/>
    <tableColumn id="11" xr3:uid="{C712E9B4-D2EC-4C7F-9F88-83E9097A63B2}" name="Ref" dataDxfId="895" dataCellStyle="Hyperlink"/>
    <tableColumn id="10" xr3:uid="{E330E6E5-BA2C-447F-B766-CFF58D324CC2}" name="Include?" dataDxfId="894" dataCellStyle="Hyperlink"/>
    <tableColumn id="5" xr3:uid="{1240D6E6-B731-495A-8FE5-FCF30A6ED608}" name="Response?" dataDxfId="893">
      <calculatedColumnFormula>IF($C$10="Yes", "No", "Yes")</calculatedColumnFormula>
    </tableColumn>
    <tableColumn id="6" xr3:uid="{2F336748-C07F-4FE9-A229-3AA70BB87D21}" name="Shade" dataDxfId="892">
      <calculatedColumnFormula>IF(AND(TBL_Q_05_PAS_C3_C[[#This Row],[Include?]]="Yes", TBL_Q_05_PAS_C3_C[[#This Row],[Response?]]="Yes"), "", "Shade")</calculatedColumnFormula>
    </tableColumn>
    <tableColumn id="7" xr3:uid="{E2740E82-1745-46DD-930C-894AF9B76E14}" name="Check" dataDxfId="891">
      <calculatedColumnFormula>IF(TBL_Q_05_PAS_C3_C[[#This Row],[Shade]]="Shade", "", IF(TBL_Q_05_PAS_C3_C[[#This Row],[Response]]&lt;&gt;"", "Done", "Add"))</calculatedColumnFormula>
    </tableColumn>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68ED91D1-7CA0-431B-93B3-C33A9F69A3F2}" name="TBL_Q_05_PAS_C3_A" displayName="TBL_Q_05_PAS_C3_A" ref="A9:I10" totalsRowShown="0" headerRowDxfId="890" headerRowBorderDxfId="889" tableBorderDxfId="888" totalsRowBorderDxfId="887">
  <autoFilter ref="A9:I10" xr:uid="{2ECFE127-76D5-4F73-932F-2E882E3528F6}"/>
  <tableColumns count="9">
    <tableColumn id="1" xr3:uid="{5CC92788-C083-4160-90F1-C98819242434}" name="Q. ref" dataDxfId="886"/>
    <tableColumn id="2" xr3:uid="{9912E694-C088-4801-9AF4-1B33C86E70DD}" name="Question" dataDxfId="885"/>
    <tableColumn id="3" xr3:uid="{A5F240F8-DADE-46E6-8313-73C2FBFC0775}" name="Yes or No?" dataDxfId="884" dataCellStyle="Hyperlink"/>
    <tableColumn id="4" xr3:uid="{80963D2A-CBE0-48F0-BE6F-9B28B98B6BB4}" name="Index_Ref" dataDxfId="883"/>
    <tableColumn id="5" xr3:uid="{1063E771-98F7-43CB-9140-97B849A19DC1}" name="Ref" dataDxfId="882" dataCellStyle="Hyperlink"/>
    <tableColumn id="6" xr3:uid="{28929152-BFF1-4457-9194-3BCA4ACA02C0}" name="Include?" dataDxfId="881" dataCellStyle="Hyperlink"/>
    <tableColumn id="7" xr3:uid="{C7101FC5-54F8-4573-B34E-1852589B6B8F}" name="Response?" dataDxfId="880"/>
    <tableColumn id="8" xr3:uid="{C307922F-8410-4342-8571-FEE6009937DC}" name="Shade" dataDxfId="879">
      <calculatedColumnFormula>IF(AND(TBL_Q_05_PAS_C3_A[[#This Row],[Include?]]="Yes", TBL_Q_05_PAS_C3_A[[#This Row],[Response?]]="Yes"), "", "Shade")</calculatedColumnFormula>
    </tableColumn>
    <tableColumn id="9" xr3:uid="{B037DC43-2CA1-4A97-8C80-49FDD7BA3752}" name="Check" dataDxfId="878">
      <calculatedColumnFormula>IF(TBL_Q_05_PAS_C3_A[Yes or No?]&lt;&gt;"", "Done", "Add")</calculatedColumnFormula>
    </tableColumn>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E51594AE-CDC4-450C-967E-25E749879E48}" name="TBL_Q_05_PAS_C3_D" displayName="TBL_Q_05_PAS_C3_D" ref="A49:I63" totalsRowShown="0" headerRowDxfId="877" dataDxfId="875" headerRowBorderDxfId="876" tableBorderDxfId="874" totalsRowBorderDxfId="873">
  <autoFilter ref="A49:I63" xr:uid="{B22462E5-C806-46C3-9AE3-FA11E08F29B0}"/>
  <tableColumns count="9">
    <tableColumn id="1" xr3:uid="{4D32CB67-4830-4EBE-8C50-4C13D1AA5325}" name="Q. ref" dataDxfId="872"/>
    <tableColumn id="2" xr3:uid="{C9043068-8FDC-4163-9B8C-5A920C4F75F4}" name="Question" dataDxfId="871"/>
    <tableColumn id="4" xr3:uid="{295A00CB-E19E-469D-80F8-C03784C0C7FF}" name="Response" dataDxfId="870" dataCellStyle="Hyperlink"/>
    <tableColumn id="9" xr3:uid="{D559559C-4C8A-4683-91C2-FD2BDF66E9DE}" name="Index_Ref" dataDxfId="869" dataCellStyle="Hyperlink"/>
    <tableColumn id="11" xr3:uid="{2E0B5A98-FF6F-4948-8BB3-BDFACFED5300}" name="Ref" dataDxfId="868" dataCellStyle="Hyperlink"/>
    <tableColumn id="10" xr3:uid="{18AA6406-7E4D-4393-B681-DAFFAE0C2350}" name="Include?" dataDxfId="867" dataCellStyle="Hyperlink"/>
    <tableColumn id="5" xr3:uid="{C9A66111-4407-44B7-B156-6D2AB9BBE6F3}" name="Response?" dataDxfId="866">
      <calculatedColumnFormula>IF($C$10="Yes", "No", "Yes")</calculatedColumnFormula>
    </tableColumn>
    <tableColumn id="6" xr3:uid="{C991EFBE-8BBD-41C8-A9F4-A89828101216}" name="Shade" dataDxfId="865">
      <calculatedColumnFormula>IF(AND(TBL_Q_05_PAS_C3_D[[#This Row],[Include?]]="Yes", TBL_Q_05_PAS_C3_D[[#This Row],[Response?]]="Yes"), "", "Shade")</calculatedColumnFormula>
    </tableColumn>
    <tableColumn id="7" xr3:uid="{62CD1E76-4FF6-4C7A-9537-72CD52033B8C}" name="Check" dataDxfId="864">
      <calculatedColumnFormula>IF(TBL_Q_05_PAS_C3_D[[#This Row],[Shade]]="Shade", "", IF(TBL_Q_05_PAS_C3_D[[#This Row],[Response]]&lt;&gt;"", "Done", "Add"))</calculatedColumnFormula>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B0974A6-CD56-465D-A798-660418A61C16}" name="TBL_Q_05_PAS_C3_F" displayName="TBL_Q_05_PAS_C3_F" ref="A13:I37" totalsRowShown="0" headerRowDxfId="863" dataDxfId="861" headerRowBorderDxfId="862" tableBorderDxfId="860" totalsRowBorderDxfId="859">
  <autoFilter ref="A13:I37" xr:uid="{5DD44CA0-DE87-459F-987E-E4304CCAF099}"/>
  <tableColumns count="9">
    <tableColumn id="1" xr3:uid="{AE7FF2CC-C9F5-4EF8-961E-7F5625A37FCA}" name="Q. ref" dataDxfId="858"/>
    <tableColumn id="2" xr3:uid="{D1F7D50C-D1F6-4343-93F8-1867F1D38CA1}" name="Question" dataDxfId="857"/>
    <tableColumn id="4" xr3:uid="{516A0783-F80B-432F-86D4-7C4C9FF887E0}" name="Response" dataDxfId="856" dataCellStyle="Hyperlink"/>
    <tableColumn id="9" xr3:uid="{E09E5AF8-FF4C-4923-8E09-9B90161682A0}" name="Index_Ref" dataDxfId="855" dataCellStyle="Hyperlink"/>
    <tableColumn id="11" xr3:uid="{76CA3CDF-1F4B-4837-B0E5-2670A5721143}" name="Ref" dataDxfId="854" dataCellStyle="Hyperlink"/>
    <tableColumn id="10" xr3:uid="{17C9FDB1-2793-4107-BE98-AAE26632198A}" name="Include?" dataDxfId="853" dataCellStyle="Hyperlink"/>
    <tableColumn id="5" xr3:uid="{61962C4D-A978-4D61-AA9C-B5630E8AD5C5}" name="Response?" dataDxfId="852"/>
    <tableColumn id="6" xr3:uid="{3E0F1739-CCC1-4766-837C-0C2E2A7F1EA9}" name="Shade" dataDxfId="851">
      <calculatedColumnFormula>IF(AND(TBL_Q_05_PAS_C3_F[[#This Row],[Include?]]="Yes", TBL_Q_05_PAS_C3_F[[#This Row],[Response?]]="Yes"), "", "Shade")</calculatedColumnFormula>
    </tableColumn>
    <tableColumn id="7" xr3:uid="{D6DFD62B-D3C7-4AD9-B530-8D797D93A015}" name="Check" dataDxfId="850">
      <calculatedColumnFormula>IF(TBL_Q_05_PAS_C3_F[[#This Row],[Shade]]="Shade", "", IF(TBL_Q_05_PAS_C3_F[[#This Row],[Response]]&lt;&gt;"", "Done", "Add"))</calculatedColumnFormula>
    </tableColumn>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52C0B053-F4A9-4791-A631-F071B82714A2}" name="TBL_Q_05_PAS_C3_G" displayName="TBL_Q_05_PAS_C3_G" ref="A43:I44" totalsRowShown="0" headerRowDxfId="849" dataDxfId="847" headerRowBorderDxfId="848" tableBorderDxfId="846" totalsRowBorderDxfId="845">
  <autoFilter ref="A43:I44" xr:uid="{5AAE4DF7-E128-4A38-A73D-54DDFDEC53C8}"/>
  <tableColumns count="9">
    <tableColumn id="1" xr3:uid="{6EAE3B39-40A2-4121-8BAB-3AC98D396087}" name="Q. ref" dataDxfId="844"/>
    <tableColumn id="2" xr3:uid="{9F87EEDC-4A99-4769-BC8B-CC5A09527108}" name="Information required and description of information expected, which will be taken into account in assessment" dataDxfId="843"/>
    <tableColumn id="4" xr3:uid="{BCF7E4E7-450E-46C3-8C3D-31B26CE6E392}" name="Yes or No?" dataDxfId="842" dataCellStyle="Hyperlink"/>
    <tableColumn id="9" xr3:uid="{0FB5DF9A-4468-46B0-8E9B-B5B0F52730C8}" name="Index_Ref" dataDxfId="841" dataCellStyle="Hyperlink"/>
    <tableColumn id="11" xr3:uid="{385FAD17-7F0A-4829-AA28-44A7F5750302}" name="Ref" dataDxfId="840" dataCellStyle="Hyperlink"/>
    <tableColumn id="10" xr3:uid="{A8CEFB59-98D3-426F-BF7C-9BB54F168609}" name="Include?" dataDxfId="839" dataCellStyle="Hyperlink"/>
    <tableColumn id="5" xr3:uid="{AE6F6560-4E13-4F65-A3A4-7616ED884494}" name="Response?" dataDxfId="838"/>
    <tableColumn id="6" xr3:uid="{325D3271-6682-485B-89C8-E4D79BBCA600}" name="Shade" dataDxfId="837">
      <calculatedColumnFormula>IF(AND(TBL_Q_05_PAS_C3_G[[#This Row],[Include?]]="Yes", TBL_Q_05_PAS_C3_G[[#This Row],[Response?]]="Yes"), "", "Shade")</calculatedColumnFormula>
    </tableColumn>
    <tableColumn id="7" xr3:uid="{71DDBD26-C9B6-457B-A9D2-6CC48669B3F4}" name="Check" dataDxfId="836">
      <calculatedColumnFormula>IF(TBL_Q_05_PAS_C3_G[[#This Row],[Shade]]="Shade", "", IF(TBL_Q_05_PAS_C3_G[Yes or No?]&lt;&gt;"", "Done", "Add"))</calculatedColumnFormula>
    </tableColumn>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DB8FCB5F-107D-467F-8B60-5A897E9E3400}" name="TBL_Q_05_PAS_C3_E" displayName="TBL_Q_05_PAS_C3_E" ref="A9:I10" totalsRowShown="0" headerRowDxfId="835" headerRowBorderDxfId="834" tableBorderDxfId="833" totalsRowBorderDxfId="832">
  <autoFilter ref="A9:I10" xr:uid="{2ECFE127-76D5-4F73-932F-2E882E3528F6}"/>
  <tableColumns count="9">
    <tableColumn id="1" xr3:uid="{9655424E-D385-4762-9E9D-765DB9821C01}" name="Q. ref" dataDxfId="831"/>
    <tableColumn id="2" xr3:uid="{BEA7A5B9-7905-482D-9969-8741B66BA7BC}" name="Information required and description of information expected, which will be taken into account in assessment" dataDxfId="830"/>
    <tableColumn id="3" xr3:uid="{D15CDC38-E380-4790-9B16-FEAA3780975F}" name="Yes or No?" dataDxfId="829" dataCellStyle="Hyperlink"/>
    <tableColumn id="4" xr3:uid="{2A6EB96C-3C85-4BCD-BDCC-89B68E811DEB}" name="Index_Ref" dataDxfId="828"/>
    <tableColumn id="5" xr3:uid="{0B997806-E28F-4A0F-A8F8-0A742B60F0FE}" name="Ref" dataDxfId="827" dataCellStyle="Hyperlink"/>
    <tableColumn id="6" xr3:uid="{0C5B0379-C875-416D-AEFA-C6738DF399F5}" name="Include?" dataDxfId="826" dataCellStyle="Hyperlink"/>
    <tableColumn id="7" xr3:uid="{95784243-F301-4290-9D84-EE66BFE54419}" name="Response?" dataDxfId="825"/>
    <tableColumn id="8" xr3:uid="{954C5897-37C7-4515-8FA5-5AA92E82CD25}" name="Shade" dataDxfId="824">
      <calculatedColumnFormula>IF(AND(TBL_Q_05_PAS_C3_E[[#This Row],[Include?]]="Yes", TBL_Q_05_PAS_C3_E[[#This Row],[Response?]]="Yes"), "", "Shade")</calculatedColumnFormula>
    </tableColumn>
    <tableColumn id="9" xr3:uid="{6D6AE9B8-1B28-4E72-BE41-1C8C8CE85C20}" name="Check" dataDxfId="823">
      <calculatedColumnFormula>IF(TBL_Q_05_PAS_C3_E[[#This Row],[Shade]]="Shade", "", IF(TBL_Q_05_PAS_C3_E[Yes or No?]&lt;&gt;"", "Done", "Add"))</calculatedColumnFormula>
    </tableColumn>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F9A379BF-DC3E-4A33-A8AE-702193A1344B}" name="TBL_Q_05_PAS_C3_H" displayName="TBL_Q_05_PAS_C3_H" ref="A47:I50" totalsRowShown="0" headerRowDxfId="822" dataDxfId="820" headerRowBorderDxfId="821" tableBorderDxfId="819" totalsRowBorderDxfId="818">
  <autoFilter ref="A47:I50" xr:uid="{B22462E5-C806-46C3-9AE3-FA11E08F29B0}"/>
  <tableColumns count="9">
    <tableColumn id="1" xr3:uid="{3C283A81-5B1A-460F-8D76-4A2B7AB8200E}" name="Q. ref" dataDxfId="817"/>
    <tableColumn id="2" xr3:uid="{6E5D55A2-A509-4E0C-BFCF-1D9AF0395509}" name="Question" dataDxfId="816"/>
    <tableColumn id="4" xr3:uid="{4DAF9641-76AA-4F75-87F3-3A0797C50694}" name="Response" dataDxfId="815" dataCellStyle="Hyperlink"/>
    <tableColumn id="9" xr3:uid="{59326EE9-5A21-40DB-9ADA-C007F20E7B37}" name="Index_Ref" dataDxfId="814" dataCellStyle="Hyperlink"/>
    <tableColumn id="11" xr3:uid="{4141AF78-20E7-4566-89CD-A37AD32D5C95}" name="Ref" dataDxfId="813" dataCellStyle="Hyperlink"/>
    <tableColumn id="10" xr3:uid="{A92FBA53-4D8A-4FEE-8E86-7A80813D4FF9}" name="Include?" dataDxfId="812" dataCellStyle="Hyperlink"/>
    <tableColumn id="5" xr3:uid="{317C8165-4690-4A35-BA69-CA336F25D20E}" name="Response?" dataDxfId="811"/>
    <tableColumn id="6" xr3:uid="{B0D81FCC-FF19-450C-AF17-896C9612B451}" name="Shade" dataDxfId="810">
      <calculatedColumnFormula>IF(AND(TBL_Q_05_PAS_C3_H[[#This Row],[Include?]]="Yes", TBL_Q_05_PAS_C3_H[[#This Row],[Response?]]="Yes"), "", "Shade")</calculatedColumnFormula>
    </tableColumn>
    <tableColumn id="7" xr3:uid="{A46CEC1F-A2BF-4B35-ACA9-5397BBEF4AF1}" name="Check" dataDxfId="809">
      <calculatedColumnFormula>IF(TBL_Q_05_PAS_C3_H[[#This Row],[Shade]]="Shade", "", IF(TBL_Q_05_PAS_C3_H[[#This Row],[Response]]&lt;&gt;"", "Done", "Add"))</calculatedColumnFormula>
    </tableColumn>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3576114A-A0E0-4A18-B99E-4A00C4B10C00}" name="TBL_Q_05_PAS_C3_I" displayName="TBL_Q_05_PAS_C3_I" ref="A53:I58" totalsRowShown="0" headerRowDxfId="808" dataDxfId="807" tableBorderDxfId="806">
  <autoFilter ref="A53:I58" xr:uid="{624EE219-0151-4757-A2B2-67F625C1DBEA}"/>
  <tableColumns count="9">
    <tableColumn id="1" xr3:uid="{9D1D9D4F-0746-41D5-B391-4B329D9253BE}" name="Q. ref" dataDxfId="805"/>
    <tableColumn id="2" xr3:uid="{0968630E-6863-40B3-AEED-25A0C5E0E2AA}" name="Question" dataDxfId="804"/>
    <tableColumn id="3" xr3:uid="{40AC8D5E-03EB-4ED2-81D5-C5837DE6CB33}" name="Response" dataDxfId="803" dataCellStyle="Hyperlink"/>
    <tableColumn id="4" xr3:uid="{A39EB12D-D830-47F1-849B-31C48024B7B5}" name="Index_Ref" dataDxfId="802"/>
    <tableColumn id="5" xr3:uid="{D48D8719-94E2-446D-8F52-E839137497DC}" name="Ref" dataDxfId="801"/>
    <tableColumn id="6" xr3:uid="{5E9F72FD-EEFD-4303-BAAC-C02227EA1B6C}" name="Include?" dataDxfId="800" dataCellStyle="Hyperlink"/>
    <tableColumn id="7" xr3:uid="{2FA6CDFD-3A2D-402A-A866-DD094BC3622E}" name="Response?" dataDxfId="799"/>
    <tableColumn id="8" xr3:uid="{B94798A9-2F5B-452F-971C-BEE452EEC06B}" name="Shade" dataDxfId="798">
      <calculatedColumnFormula>IF(AND(TBL_Q_05_PAS_C3_I[[#This Row],[Include?]]="Yes", TBL_Q_05_PAS_C3_I[[#This Row],[Response?]]="Yes"), "", "Shade")</calculatedColumnFormula>
    </tableColumn>
    <tableColumn id="9" xr3:uid="{487711FD-1D04-4897-8DD7-A005DAC751D4}" name="Check" dataDxfId="797">
      <calculatedColumnFormula>IF(TBL_Q_05_PAS_C3_I[[#This Row],[Shade]]="Shade", "", IF(TBL_Q_05_PAS_C3_I[[#This Row],[Response]]&lt;&gt;"", "Done", "Add"))</calculatedColumnFormula>
    </tableColumn>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A05C404E-5943-4A1B-934D-CA80774596F2}" name="TBL_Q_05_PAS_C4_A" displayName="TBL_Q_05_PAS_C4_A" ref="A19:L22" totalsRowShown="0" headerRowDxfId="796" dataDxfId="794" headerRowBorderDxfId="795" tableBorderDxfId="793" totalsRowBorderDxfId="792">
  <autoFilter ref="A19:L22" xr:uid="{5DD44CA0-DE87-459F-987E-E4304CCAF099}"/>
  <tableColumns count="12">
    <tableColumn id="1" xr3:uid="{BF2B27B1-B9D8-4733-93FC-3F6D95E1486F}" name="Q. ref" dataDxfId="791"/>
    <tableColumn id="2" xr3:uid="{14561CAA-A2AC-4D9D-96CC-5EFB67E01329}" name="Sub-Q. ref" dataDxfId="790"/>
    <tableColumn id="3" xr3:uid="{7D84C29C-1689-4F28-85DE-51B19ED542F5}" name="Circumstances of exemption" dataDxfId="789"/>
    <tableColumn id="4" xr3:uid="{90D0BE61-EF02-46D5-8223-B28F451F8994}" name="Response" dataDxfId="788" dataCellStyle="Hyperlink"/>
    <tableColumn id="12" xr3:uid="{390667F0-9BFD-4130-A930-AA08544557CC}" name="CDM duty holder role(s) claimed" dataDxfId="787" dataCellStyle="Hyperlink"/>
    <tableColumn id="9" xr3:uid="{50A57F1C-1BAA-4648-A706-AB973DF53CB2}" name="Index_Ref" dataDxfId="786" dataCellStyle="Hyperlink"/>
    <tableColumn id="11" xr3:uid="{6230EAF8-EC6B-44F9-875E-30CEE861433D}" name="Ref" dataDxfId="785" dataCellStyle="Hyperlink"/>
    <tableColumn id="10" xr3:uid="{45536A4E-C65F-4597-B7ED-165888477C80}" name="Include?" dataDxfId="784" dataCellStyle="Hyperlink"/>
    <tableColumn id="5" xr3:uid="{C3530645-1CCB-4617-BF3C-319F256456FB}" name="Response?" dataDxfId="783"/>
    <tableColumn id="6" xr3:uid="{5AF2C2C6-60ED-4C37-A4E6-068453245752}" name="Shade" dataDxfId="782">
      <calculatedColumnFormula>IF(AND(TBL_Q_05_PAS_C4_A[[#This Row],[Include?]]="Yes", TBL_Q_05_PAS_C4_A[[#This Row],[Response?]]="Yes"), "", "Shade")</calculatedColumnFormula>
    </tableColumn>
    <tableColumn id="7" xr3:uid="{EED15E0D-01C9-40C2-8BE2-E28CA66985C9}" name="Check_1" dataDxfId="781">
      <calculatedColumnFormula>IF(TBL_Q_05_PAS_C4_A[[#This Row],[Shade]]="Shade", "", IF(TBL_Q_05_PAS_C4_A[[#This Row],[Response]]&lt;&gt;"", "Done", "Add"))</calculatedColumnFormula>
    </tableColumn>
    <tableColumn id="8" xr3:uid="{12484623-908B-4128-90BF-8BF78C4156CB}" name="Check_2" dataDxfId="780">
      <calculatedColumnFormula>IF(OR(TBL_Q_05_PAS_C4_A[[#This Row],[Response]]="Yes - i", TBL_Q_05_PAS_C4_A[[#This Row],[Response]]="Yes - i and ii"), IF(TBL_Q_05_PAS_C4_A[[#This Row],[CDM duty holder role(s) claimed]]&lt;&gt;"", "Done", "Add"), "Shade")</calculatedColumnFormula>
    </tableColumn>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C0400E2C-BD39-4ABB-829C-A9D5F618A464}" name="TBL_Q_05_PAS_C4_B" displayName="TBL_Q_05_PAS_C4_B" ref="A25:L35" totalsRowShown="0" headerRowDxfId="779" dataDxfId="777" headerRowBorderDxfId="778" tableBorderDxfId="776" totalsRowBorderDxfId="775">
  <autoFilter ref="A25:L35" xr:uid="{46EEFAEF-B1AC-46B7-BC6C-2BCEAA59DA53}"/>
  <tableColumns count="12">
    <tableColumn id="1" xr3:uid="{1E1CCBA2-4062-430C-B365-25960F2071FD}" name="Q. ref" dataDxfId="774"/>
    <tableColumn id="2" xr3:uid="{E9D9C56D-C063-4F90-8FFB-E8CF5870411E}" name="Question" dataDxfId="773"/>
    <tableColumn id="3" xr3:uid="{A2193359-3841-4588-BB44-C303673A5391}" name="Example of the type of information in support of responses, which will be taken into account in assessment" dataDxfId="772"/>
    <tableColumn id="4" xr3:uid="{FEC18F39-609E-4E5C-8565-0B65A59A082C}" name="Yes or No?" dataDxfId="771" dataCellStyle="Hyperlink"/>
    <tableColumn id="12" xr3:uid="{B9A59B8B-C80A-4097-8078-5A15BA95D154}" name="Supplier’s unique reference to supporting information" dataDxfId="770" dataCellStyle="Hyperlink"/>
    <tableColumn id="9" xr3:uid="{CAC64F34-3893-447B-94C8-D803D74DC824}" name="Index_Ref" dataDxfId="769" dataCellStyle="Hyperlink"/>
    <tableColumn id="11" xr3:uid="{43D93C02-D194-4D51-BB76-EEF7566FF762}" name="Ref" dataDxfId="768" dataCellStyle="Hyperlink"/>
    <tableColumn id="10" xr3:uid="{A9B0A27C-445B-4044-BECB-32AADB80E81D}" name="Include?" dataDxfId="767" dataCellStyle="Hyperlink"/>
    <tableColumn id="5" xr3:uid="{081692CE-B54E-43F6-B29C-91984ECAFB94}" name="Response?" dataDxfId="766">
      <calculatedColumnFormula>IF(COUNTIF(TBL_Q_05_PAS_C4_A[Response], "No")&gt;2, "Yes", "No")</calculatedColumnFormula>
    </tableColumn>
    <tableColumn id="6" xr3:uid="{40ABFF08-FB21-4FBA-B139-1F858C58106C}" name="Shade" dataDxfId="765">
      <calculatedColumnFormula>IF(AND(TBL_Q_05_PAS_C4_B[[#This Row],[Include?]]="Yes", TBL_Q_05_PAS_C4_B[[#This Row],[Response?]]="Yes"), "", "Shade")</calculatedColumnFormula>
    </tableColumn>
    <tableColumn id="7" xr3:uid="{91BA71CD-6315-4414-840B-C4F76CFA8756}" name="Check_1" dataDxfId="764">
      <calculatedColumnFormula>IF(TBL_Q_05_PAS_C4_B[[#This Row],[Shade]]="Shade", "", IF(TBL_Q_05_PAS_C4_B[[#This Row],[Yes or No?]]&lt;&gt;"", "Done", "Add"))</calculatedColumnFormula>
    </tableColumn>
    <tableColumn id="8" xr3:uid="{DAD0EFA6-476F-42CA-B7C8-F7A71E948914}" name="Check_2" dataDxfId="763">
      <calculatedColumnFormula>IF(TBL_Q_05_PAS_C4_B[[#This Row],[Yes or No?]]="Yes", IF(TBL_Q_05_PAS_C4_B[[#This Row],[Supplier’s unique reference to supporting information]]&lt;&gt;"", "Done", "Add"), "Shade")</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E97E0796-7220-43E3-9912-D6281FB48EF3}" name="TBL_ADD_01_QA_Tender" displayName="TBL_ADD_01_QA_Tender" ref="A3:F19" totalsRowShown="0" headerRowDxfId="1355" headerRowBorderDxfId="1354" tableBorderDxfId="1353" totalsRowBorderDxfId="1352">
  <autoFilter ref="A3:F19" xr:uid="{5BF436BD-2C23-416F-8519-E70168196780}"/>
  <tableColumns count="6">
    <tableColumn id="5" xr3:uid="{FAF19D34-C959-49D7-B712-8354E6A1AC39}" name="Name_Check" dataDxfId="1351"/>
    <tableColumn id="6" xr3:uid="{DB23C043-34E4-401A-AAD4-C0FF77B0C10F}" name="Date_Check" dataDxfId="1350">
      <calculatedColumnFormula>IF(TBL_ADD_01_QA_Tender[[#This Row],[Date Completed]]&lt;&gt;"", "", "Add")</calculatedColumnFormula>
    </tableColumn>
    <tableColumn id="1" xr3:uid="{DCB6C57F-1313-4753-96D2-489CEEC161A3}" name="Activity" dataDxfId="1349"/>
    <tableColumn id="2" xr3:uid="{32F6FC88-1E6E-4747-8DD8-D0D9FD098F67}" name="Name" dataDxfId="1348"/>
    <tableColumn id="3" xr3:uid="{2395C01D-E21C-4559-8893-4AB088624CE1}" name="Date Completed" dataDxfId="1347"/>
    <tableColumn id="4" xr3:uid="{1860FA95-C017-49F6-95CE-EEBEDB087418}" name="Comments / Revisons made" dataDxfId="1346"/>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1020F1B3-57AF-4709-AA02-B39B0B095AAA}" name="TBL_Q_05_PAS_C4_C" displayName="TBL_Q_05_PAS_C4_C" ref="A43:L47" totalsRowShown="0" headerRowDxfId="762" dataDxfId="760" headerRowBorderDxfId="761" tableBorderDxfId="759" totalsRowBorderDxfId="758">
  <autoFilter ref="A43:L47" xr:uid="{DF55B0EC-78E2-45F3-A9F4-7A96948708DA}"/>
  <tableColumns count="12">
    <tableColumn id="1" xr3:uid="{A47428E0-223F-4229-AC2F-9E5275F01284}" name="Q. ref" dataDxfId="757"/>
    <tableColumn id="2" xr3:uid="{27BCE97F-78D6-45CB-AF9A-7B98644B3454}" name="Sub-Q. ref" dataDxfId="756"/>
    <tableColumn id="3" xr3:uid="{5D66D0E4-C77F-4871-900A-8F4A157BE2E8}" name="CDM DUTY HOLDER ROLE(S) IDENTIFIED" dataDxfId="755"/>
    <tableColumn id="4" xr3:uid="{4EFD3333-1477-4185-BB02-26BDA71899C8}" name="Yes or No?" dataDxfId="754" dataCellStyle="Hyperlink"/>
    <tableColumn id="12" xr3:uid="{070305FC-6E96-4798-BD40-10C382685A76}" name="Required?" dataDxfId="753" dataCellStyle="Hyperlink"/>
    <tableColumn id="9" xr3:uid="{137E25CE-D2EF-4481-957B-A1AA9BF2C7DB}" name="Index_Ref" dataDxfId="752" dataCellStyle="Hyperlink"/>
    <tableColumn id="11" xr3:uid="{EC3EDDCA-4B78-4784-BDF4-68186A1EE18F}" name="Ref" dataDxfId="751" dataCellStyle="Hyperlink"/>
    <tableColumn id="10" xr3:uid="{98C14677-5B02-4793-984D-77E2B3C44D7D}" name="Include?" dataDxfId="750" dataCellStyle="Hyperlink"/>
    <tableColumn id="5" xr3:uid="{C8AA0EF3-29A0-4250-8453-295B259CDD0A}" name="Response?" dataDxfId="749">
      <calculatedColumnFormula>IF(COUNTIF(TBL_Q_05_PAS_C4_A[Response], "No")&gt;2, "Yes", "No")</calculatedColumnFormula>
    </tableColumn>
    <tableColumn id="6" xr3:uid="{8CC85567-8C94-4AA6-9BD0-FBBDA949B0D2}" name="Shade" dataDxfId="748">
      <calculatedColumnFormula>IF(AND(TBL_Q_05_PAS_C4_C[[#This Row],[Include?]]="Yes", TBL_Q_05_PAS_C4_C[[#This Row],[Response?]]="Yes"), "", "Shade")</calculatedColumnFormula>
    </tableColumn>
    <tableColumn id="7" xr3:uid="{40E19B82-DB3D-40D9-85C2-563F4BC6192B}" name="Check_1" dataDxfId="747">
      <calculatedColumnFormula>IF(TBL_Q_05_PAS_C4_C[[#This Row],[Yes or No?]]&lt;&gt;"", "Done", IF(COUNTIF(TBL_Q_05_PAS_C4_C[Yes or No?], "Yes")&gt;0, "", "Add"))</calculatedColumnFormula>
    </tableColumn>
    <tableColumn id="8" xr3:uid="{298F26EA-0502-430C-A6A7-D4EBD05EC677}" name="Check_2" dataDxfId="746"/>
  </tableColumns>
  <tableStyleInfo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11783ABA-171C-4882-8B4D-BD2AC0BC56F8}" name="TBL_Q_05_PAS_C4_D" displayName="TBL_Q_05_PAS_C4_D" ref="A49:L71" totalsRowShown="0" headerRowDxfId="745" dataDxfId="743" headerRowBorderDxfId="744" tableBorderDxfId="742" totalsRowBorderDxfId="741">
  <autoFilter ref="A49:L71" xr:uid="{CA7FDAB6-998A-471E-A561-1DE9444B0D99}"/>
  <tableColumns count="12">
    <tableColumn id="1" xr3:uid="{3AAE063A-6D18-4A9F-8154-A1E083012DB7}" name="Q. ref" dataDxfId="740"/>
    <tableColumn id="2" xr3:uid="{697EB47F-1F22-42C4-97B5-08BF64E9ED6D}" name="Question" dataDxfId="739"/>
    <tableColumn id="3" xr3:uid="{5FC93333-61E6-48AC-A27A-D630CF7A2737}" name="Example of the type of information in support of responses, which will be taken into account in assessment" dataDxfId="738"/>
    <tableColumn id="4" xr3:uid="{53272ED5-0F8F-43EF-80B7-55B8C00FABD4}" name="Yes or No?" dataDxfId="737" dataCellStyle="Hyperlink"/>
    <tableColumn id="12" xr3:uid="{6B408D3D-82F5-45B7-AACA-2535297C3293}" name="Supplier’s unique reference to supporting information" dataDxfId="736" dataCellStyle="Hyperlink"/>
    <tableColumn id="9" xr3:uid="{3C03420E-E642-43D6-A23D-C8DAC7CF58A3}" name="Index_Ref" dataDxfId="735" dataCellStyle="Hyperlink"/>
    <tableColumn id="11" xr3:uid="{EB342DF3-FE8B-4DDB-AE2B-85EB31424E8F}" name="Ref" dataDxfId="734" dataCellStyle="Hyperlink"/>
    <tableColumn id="10" xr3:uid="{A79DC75C-F175-4568-A5F8-CD530CF89A5B}" name="Include?" dataDxfId="733" dataCellStyle="Hyperlink"/>
    <tableColumn id="5" xr3:uid="{31B5EE73-A50D-4C2A-8E35-D33A98EF29F6}" name="Response?" dataDxfId="732">
      <calculatedColumnFormula>IF(COUNTIF(TBL_Q_05_PAS_C4_A[Check_2], "Shade")&gt;0, "Yes", "No")</calculatedColumnFormula>
    </tableColumn>
    <tableColumn id="6" xr3:uid="{F0A8A018-032E-4AF4-9EB2-B75927A50796}" name="Shade" dataDxfId="731">
      <calculatedColumnFormula>IF(AND(TBL_Q_05_PAS_C4_D[[#This Row],[Include?]]="Yes", TBL_Q_05_PAS_C4_D[[#This Row],[Response?]]="Yes"), "", "Shade")</calculatedColumnFormula>
    </tableColumn>
    <tableColumn id="7" xr3:uid="{CA8CC4A4-1250-4653-BD71-859773502A62}" name="Check_1" dataDxfId="730">
      <calculatedColumnFormula>IF(TBL_Q_05_PAS_C4_D[[#This Row],[Shade]]="Shade", "", IF(TBL_Q_05_PAS_C4_D[[#This Row],[Yes or No?]]&lt;&gt;"", "Done", "Add"))</calculatedColumnFormula>
    </tableColumn>
    <tableColumn id="8" xr3:uid="{4BBD13D5-EC11-431E-8D29-F3A1E5316E3C}" name="Check_2" dataDxfId="729"/>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98967DB4-D356-45FF-8D1E-AFBB2ED58867}" name="TBL_Q_05_PAS_O1" displayName="TBL_Q_05_PAS_O1" ref="A8:L23" totalsRowShown="0" headerRowDxfId="728" dataDxfId="726" headerRowBorderDxfId="727" tableBorderDxfId="725" totalsRowBorderDxfId="724">
  <autoFilter ref="A8:L23" xr:uid="{5DD44CA0-DE87-459F-987E-E4304CCAF099}"/>
  <tableColumns count="12">
    <tableColumn id="1" xr3:uid="{7D3AD4F9-74EE-4A0E-902E-D890BC79F8FF}" name="Q. ref" dataDxfId="723"/>
    <tableColumn id="2" xr3:uid="{78A1CFE3-C55F-4678-8A6B-02EC01F10A40}" name="Question" dataDxfId="722"/>
    <tableColumn id="3" xr3:uid="{84F2ACB4-AEDD-4586-8380-9249EB2FD195}" name="Description of information in support of response, which will be taken into account in assessment" dataDxfId="721"/>
    <tableColumn id="4" xr3:uid="{5E4CA72A-A93F-400E-BC08-5A7D6DB264E6}" name="Yes or No?" dataDxfId="720" dataCellStyle="Hyperlink"/>
    <tableColumn id="12" xr3:uid="{FE450FA5-9F7E-41A1-8201-7B1F411C8FCD}" name="Supplier’s unique reference to supporting information" dataDxfId="719" dataCellStyle="Hyperlink"/>
    <tableColumn id="9" xr3:uid="{2CAFFE41-6330-4F6C-B7AC-AAA80AE3745D}" name="Index_Ref" dataDxfId="718" dataCellStyle="Hyperlink"/>
    <tableColumn id="11" xr3:uid="{EE327BB0-1B4E-435D-BF3C-758DC516EF95}" name="Ref" dataDxfId="717" dataCellStyle="Hyperlink"/>
    <tableColumn id="10" xr3:uid="{5C1D5AC7-150F-4C01-BE0B-0376D6E63672}" name="Include?" dataDxfId="716" dataCellStyle="Hyperlink"/>
    <tableColumn id="5" xr3:uid="{3D770571-EFA8-4D1F-B08A-16910858E476}" name="Response?" dataDxfId="715"/>
    <tableColumn id="6" xr3:uid="{030394C6-095A-474E-AF94-E6D679C48B95}" name="Shade" dataDxfId="714">
      <calculatedColumnFormula>IF(AND(TBL_Q_05_PAS_O1[[#This Row],[Include?]]="Yes", TBL_Q_05_PAS_O1[[#This Row],[Response?]]="Yes"), "", "Shade")</calculatedColumnFormula>
    </tableColumn>
    <tableColumn id="7" xr3:uid="{4FE6825B-234E-497E-BEE4-6B5781CCDD48}" name="Check_1" dataDxfId="713">
      <calculatedColumnFormula>IF(TBL_Q_05_PAS_O1[[#This Row],[Shade]]="Shade", "", IF(TBL_Q_05_PAS_O1[[#This Row],[Yes or No?]]&lt;&gt;"", "Done", "Add"))</calculatedColumnFormula>
    </tableColumn>
    <tableColumn id="8" xr3:uid="{217D219C-A7E0-4812-A7ED-2922B857D1AB}" name="Check_2" dataDxfId="712">
      <calculatedColumnFormula>IF(TBL_Q_05_PAS_O1[[#This Row],[Yes or No?]]="Yes", IF(TBL_Q_05_PAS_O1[[#This Row],[Supplier’s unique reference to supporting information]]&lt;&gt;"", "Done", "Add"), "Shade")</calculatedColumnFormula>
    </tableColumn>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CB505B33-F797-4FE9-BCB0-F630CA8C6DDD}" name="TBL_Q_05_PAS_O2_B" displayName="TBL_Q_05_PAS_O2_B" ref="A10:L15" totalsRowShown="0" headerRowDxfId="711" dataDxfId="709" headerRowBorderDxfId="710" tableBorderDxfId="708" totalsRowBorderDxfId="707">
  <autoFilter ref="A10:L15" xr:uid="{5DD44CA0-DE87-459F-987E-E4304CCAF099}"/>
  <tableColumns count="12">
    <tableColumn id="1" xr3:uid="{9DA9A252-C308-453A-B1E2-54E1F0BEF57F}" name="Q. ref" dataDxfId="706"/>
    <tableColumn id="2" xr3:uid="{F1B5D9C9-2D31-4A7A-AA34-EDBCB7192D1E}" name="Question" dataDxfId="705"/>
    <tableColumn id="3" xr3:uid="{83A33C6C-45C2-4470-863C-00C068893487}" name="Description of information in support of response, which will be taken into account in assessment" dataDxfId="704"/>
    <tableColumn id="4" xr3:uid="{B6E530B9-DE7B-4B88-AFE0-F2663F308E27}" name="Yes or No?" dataDxfId="703" dataCellStyle="Hyperlink"/>
    <tableColumn id="12" xr3:uid="{1B9EB29E-2DAC-4769-9752-F3A0D014506F}" name="Supplier’s unique reference to supporting information" dataDxfId="702" dataCellStyle="Hyperlink"/>
    <tableColumn id="9" xr3:uid="{1D117CA3-573D-4BC0-A556-3DF6FFF0E2DE}" name="Index_Ref" dataDxfId="701" dataCellStyle="Hyperlink"/>
    <tableColumn id="11" xr3:uid="{5A0D6A58-0802-45BA-BBA1-281B7AEF243A}" name="Ref" dataDxfId="700" dataCellStyle="Hyperlink"/>
    <tableColumn id="10" xr3:uid="{F46A636A-2F33-4726-A2BF-42EE1521C74E}" name="Include?" dataDxfId="699" dataCellStyle="Hyperlink"/>
    <tableColumn id="5" xr3:uid="{23A503E5-D42C-46B7-938F-0BA4FB342FD1}" name="Response?" dataDxfId="698">
      <calculatedColumnFormula>IF($D$9="Yes", "No", "Yes")</calculatedColumnFormula>
    </tableColumn>
    <tableColumn id="6" xr3:uid="{0B2364DB-74D7-454F-9785-E10A6CF9817B}" name="Shade" dataDxfId="697">
      <calculatedColumnFormula>IF(AND(TBL_Q_05_PAS_O2_B[[#This Row],[Include?]]="Yes", TBL_Q_05_PAS_O2_B[[#This Row],[Response?]]="Yes"), "", "Shade")</calculatedColumnFormula>
    </tableColumn>
    <tableColumn id="7" xr3:uid="{07D602DE-B079-4838-9223-C1F06690DD50}" name="Check_1" dataDxfId="696">
      <calculatedColumnFormula>IF(TBL_Q_05_PAS_O2_B[[#This Row],[Shade]]="Shade", "", IF(TBL_Q_05_PAS_O2_B[[#This Row],[Yes or No?]]&lt;&gt;"", "Done", "Add"))</calculatedColumnFormula>
    </tableColumn>
    <tableColumn id="8" xr3:uid="{DB6CEF0D-9E47-4051-B971-D05993381522}" name="Check_2" dataDxfId="695">
      <calculatedColumnFormula>IF(TBL_Q_05_PAS_O2_B[[#This Row],[Yes or No?]]="Yes", IF(TBL_Q_05_PAS_O2_B[[#This Row],[Supplier’s unique reference to supporting information]]&lt;&gt;"", "Done", "Add"), "Shade")</calculatedColumnFormula>
    </tableColumn>
  </tableColumns>
  <tableStyleInfo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5ADF6C9D-FE25-4015-9090-C37CDB7DEC3B}" name="TBL_Q_05_PAS_O3_B" displayName="TBL_Q_05_PAS_O3_B" ref="A10:L15" totalsRowShown="0" headerRowDxfId="694" dataDxfId="692" headerRowBorderDxfId="693" tableBorderDxfId="691" totalsRowBorderDxfId="690">
  <autoFilter ref="A10:L15" xr:uid="{5DD44CA0-DE87-459F-987E-E4304CCAF099}"/>
  <tableColumns count="12">
    <tableColumn id="1" xr3:uid="{D6DED90A-5A61-4BB4-981D-4DE1514C1750}" name="Q. ref" dataDxfId="689"/>
    <tableColumn id="2" xr3:uid="{7C723272-61A1-4D58-A10B-206A40AEAD9D}" name="Question" dataDxfId="688"/>
    <tableColumn id="3" xr3:uid="{36E707D6-7102-4340-B3CB-AE6696BDA8A4}" name="Description of information in support of response, which will be taken into account in assessment" dataDxfId="687"/>
    <tableColumn id="4" xr3:uid="{28C7AFE7-0A02-47C9-AA2F-37E2496BE440}" name="Yes or No?" dataDxfId="686" dataCellStyle="Hyperlink"/>
    <tableColumn id="12" xr3:uid="{1C3F746E-9726-489A-9156-EC9F81F2A4E3}" name="Supplier’s unique reference to supporting information" dataDxfId="685" dataCellStyle="Hyperlink"/>
    <tableColumn id="9" xr3:uid="{BD1D1E15-D671-463C-B148-504821AD9940}" name="Index_Ref" dataDxfId="684" dataCellStyle="Hyperlink"/>
    <tableColumn id="11" xr3:uid="{4161720A-354A-4208-B2EF-87CEAA020219}" name="Ref" dataDxfId="683" dataCellStyle="Hyperlink"/>
    <tableColumn id="10" xr3:uid="{A7BB0282-9D40-4FE8-90AC-ACC013EAEF50}" name="Include?" dataDxfId="682" dataCellStyle="Hyperlink"/>
    <tableColumn id="5" xr3:uid="{651AA477-DD93-47AE-9D43-055E708536E6}" name="Response?" dataDxfId="681">
      <calculatedColumnFormula>IF($D$9="Yes", "No", "Yes")</calculatedColumnFormula>
    </tableColumn>
    <tableColumn id="6" xr3:uid="{63B8BA47-B997-44D7-944B-B7CDCFF77672}" name="Shade" dataDxfId="680">
      <calculatedColumnFormula>IF(AND(TBL_Q_05_PAS_O3_B[[#This Row],[Include?]]="Yes", TBL_Q_05_PAS_O3_B[[#This Row],[Response?]]="Yes"), "", "Shade")</calculatedColumnFormula>
    </tableColumn>
    <tableColumn id="7" xr3:uid="{69F35D39-6113-4DDE-B805-F8C094EB803D}" name="Check_1" dataDxfId="679">
      <calculatedColumnFormula>IF(TBL_Q_05_PAS_O3_B[[#This Row],[Shade]]="Shade", "", IF(TBL_Q_05_PAS_O3_B[[#This Row],[Yes or No?]]&lt;&gt;"", "Done", "Add"))</calculatedColumnFormula>
    </tableColumn>
    <tableColumn id="8" xr3:uid="{C71B2434-29E0-49BE-BE31-2C62A3DAFEC8}" name="Check_2" dataDxfId="678">
      <calculatedColumnFormula>IF(TBL_Q_05_PAS_O3_B[[#This Row],[Yes or No?]]="Yes", IF(TBL_Q_05_PAS_O3_B[[#This Row],[Supplier’s unique reference to supporting information]]&lt;&gt;"", "Done", "Add"), "Shade")</calculatedColumnFormula>
    </tableColumn>
  </tableColumns>
  <tableStyleInfo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1372C6F-20AA-49ED-9793-E75A6D7CA32E}" name="TBL_Q_06_Select_All" displayName="TBL_Q_06_Select_All" ref="A20:H180" totalsRowShown="0" headerRowDxfId="677" dataDxfId="675" headerRowBorderDxfId="676" tableBorderDxfId="674">
  <autoFilter ref="A20:H180" xr:uid="{CBA0E9E1-A62C-4E6A-B1CC-DCF6C01758E9}"/>
  <tableColumns count="8">
    <tableColumn id="1" xr3:uid="{0B466266-22BF-4C0D-A8DA-CA2177A6E372}" name="Q. No." dataDxfId="673"/>
    <tableColumn id="2" xr3:uid="{2833E735-FEBA-464F-86E0-41E90997C3C0}" name="Question" dataDxfId="672">
      <calculatedColumnFormula array="1">IF(OR(TBL_Q_06_Select_All[[#This Row],[Type]]="Question", TBL_Q_06_Select_All[[#This Row],[Type]]="Sub-question"), CONCATENATE(INDEX(#REF!, MATCH(1, (TBL_Q_06_Select_All[[#This Row],[Q. No.]]=#REF!)*(TBL_Q_06_Select_All[[#This Row],[Type]]=#REF!),0)), "
"), CONCATENATE($J$6,TBL_Q_06_Select_All[[#This Row],[Q. No.]],$J$7,TBL_Q_06_Select_All[[#This Row],[Sub_No]],$J$8,#REF!,$J$10,#REF!,$J$11,REF_marks,$J$12, IF(AND(#REF!&lt;&gt;"", TBL_Q_06_Select_All[[#This Row],[Shade?]]&lt;&gt;""), IF(OR(#REF!="N/A", TBL_Q_06_Select_All[[#This Row],[Shade?]]="N/A"), "", CONCATENATE(".  In addition, you may append ",#REF!, IF(#REF!= 1, " side of A3 paper or ", " sides of A3 paper or "),#REF!*2, " sides of A4 paper to support your response to ", TBL_Q_06_Select_All[[#This Row],[Shade?]])), "")))</calculatedColumnFormula>
    </tableColumn>
    <tableColumn id="3" xr3:uid="{9E27A2F1-CFA9-4C25-AFF3-F3A65638CA24}" name="Response" dataDxfId="671"/>
    <tableColumn id="5" xr3:uid="{A213A3D5-52C6-4F66-A628-324C801CB1E1}" name="Check" dataDxfId="670">
      <calculatedColumnFormula>IF(TBL_Q_06_Select_All[[#This Row],[Type]]="Question", IF(OR(TBL_Q_06_Select_All[[#This Row],[Shade?]]="Shade", TBL_Q_06_Select_All[[#This Row],[Question]]="Question not used
"), "", IF(TBL_Q_06_Select_All[[#This Row],[Response]]&lt;&gt;"", "Done", "Add")), "")</calculatedColumnFormula>
    </tableColumn>
    <tableColumn id="4" xr3:uid="{FE3ACD26-A488-41D8-81F1-B994B7B0475B}" name="Type" dataDxfId="669"/>
    <tableColumn id="12" xr3:uid="{046097AB-EDC3-4591-B5F5-6B9BF8421E97}" name="Q_No" dataDxfId="668"/>
    <tableColumn id="6" xr3:uid="{4AD5B2DC-499B-4915-B894-E264D4BD3A40}" name="Sub_No" dataDxfId="667">
      <calculatedColumnFormula array="1">IF(TBL_Q_06_Select_All[[#This Row],[Type]]="Details", INDEX(#REF!, MATCH(1, (TBL_Q_06_Select_All[[#This Row],[Q. No.]]=#REF!)*("Question"=#REF!),0)), "")</calculatedColumnFormula>
    </tableColumn>
    <tableColumn id="10" xr3:uid="{02462EA0-7C66-4638-969F-BB358F499033}" name="Shade?" dataDxfId="666">
      <calculatedColumnFormula array="1">IF($J$4="No", "Shade", IF(OR(INDEX(TBL_ADD_04_Qs_All[Question / Sub-question], MATCH(1, (TBL_Q_06_Select_All[[#This Row],[Q_No]]=TBL_ADD_04_Qs_All[Q.])*("Question"=TBL_ADD_04_Qs_All[Type]),0))="Not used", TBL_Q_06_Select_All[[#This Row],[Question]]="Not used
", TBL_Q_06_Select_All[[#This Row],[Question]]="Question not used
"), "Shade", ""))</calculatedColumnFormula>
    </tableColumn>
  </tableColumns>
  <tableStyleInfo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CAAE91C-5F6F-45CB-82B2-FD661A6DD8A5}" name="TBL_Q_10_Tech_All" displayName="TBL_Q_10_Tech_All" ref="A10:H130" totalsRowShown="0" headerRowDxfId="665" dataDxfId="663" headerRowBorderDxfId="664" tableBorderDxfId="662" totalsRowBorderDxfId="661">
  <autoFilter ref="A10:H130" xr:uid="{98A985D9-3ABD-4081-AF16-69A8B6F55F5E}"/>
  <tableColumns count="8">
    <tableColumn id="1" xr3:uid="{4B6B474C-F8B3-4498-950A-FCDB746272D2}" name="Q. No." dataDxfId="660">
      <calculatedColumnFormula>IF(TBL_Q_10_Tech_All[[#This Row],[Sub_No]]="N/A", TBL_Q_10_Tech_All[[#This Row],[Q_No]], CONCATENATE(TBL_Q_10_Tech_All[[#This Row],[Q_No]], TBL_Q_10_Tech_All[[#This Row],[Sub_No]]))</calculatedColumnFormula>
    </tableColumn>
    <tableColumn id="2" xr3:uid="{815782BA-E815-4B08-8AA8-F46E58064EB5}" name="Question" dataDxfId="659">
      <calculatedColumnFormula array="1">IF(OR(TBL_Q_10_Tech_All[[#This Row],[Type]]="Question", TBL_Q_10_Tech_All[[#This Row],[Type]]="Sub-question"), CONCATENATE(INDEX(TBL_ADD_04_Qs_All[Question / Sub-question], MATCH(1, (TBL_Q_10_Tech_All[[#This Row],[Q. No.]]=TBL_ADD_04_Qs_All[Q.])*(TBL_Q_10_Tech_All[[#This Row],[Type]]=TBL_ADD_04_Qs_All[Type]),0)), "
"), IF(INDEX(TBL_ADD_04_Qs_All[Question / Sub-question], MATCH(1, (TBL_Q_10_Tech_All[[#This Row],[Q_No]]=TBL_ADD_04_Qs_All[Q.])*("Question"=TBL_ADD_04_Qs_All[Type]),0))="Not used", "Not used
", CONCATENATE(INDEX(TBL_ADD_04_Qs_All[Maximum marks available], MATCH(1, (TBL_Q_10_Tech_All[[#This Row],[Q. No.]]=TBL_ADD_04_Qs_All[Q.])*("Question"=TBL_ADD_04_Qs_All[Type]),0)), ".  ", INDEX(TBL_ADD_04_Qs_All[Q_Limit], MATCH(1, (TBL_Q_10_Tech_All[[#This Row],[Q. No.]]=TBL_ADD_04_Qs_All[Q.])*("Question"=TBL_ADD_04_Qs_All[Type]),0)), "
")))</calculatedColumnFormula>
    </tableColumn>
    <tableColumn id="3" xr3:uid="{6A940826-F521-4D4F-A766-97B8DF79D944}" name="Response" dataDxfId="658"/>
    <tableColumn id="4" xr3:uid="{0A9D6972-B416-457E-97F0-D596A1B2E882}" name="Check" dataDxfId="657">
      <calculatedColumnFormula>IF(TBL_Q_10_Tech_All[[#This Row],[Shade?]]="Shade", "", IF(TBL_Q_10_Tech_All[[#This Row],[Type]]="Question", IF(TBL_Q_10_Tech_All[[#This Row],[Response]]&lt;&gt;"", "Done", "Add"), ""))</calculatedColumnFormula>
    </tableColumn>
    <tableColumn id="5" xr3:uid="{CF976154-C0E4-404D-85C6-BFD14AD826E8}" name="Type" dataDxfId="656"/>
    <tableColumn id="13" xr3:uid="{7A465334-C962-4E6C-9000-7F26639F31DF}" name="Q_No" dataDxfId="655"/>
    <tableColumn id="12" xr3:uid="{843A8325-684B-4F49-8C48-D8D359B29C1A}" name="Sub_No" dataDxfId="654"/>
    <tableColumn id="11" xr3:uid="{74125282-E76C-4875-85A9-36CCB25A8CC0}" name="Shade?" dataDxfId="653">
      <calculatedColumnFormula array="1">IF($G$4="No", "Shade", IF(OR(INDEX(TBL_ADD_04_Qs_All[Question / Sub-question], MATCH(1, (TBL_Q_10_Tech_All[[#This Row],[Q_No]]=TBL_ADD_04_Qs_All[Q.])*("Question"=TBL_ADD_04_Qs_All[Type]),0))="Not used", TBL_Q_10_Tech_All[[#This Row],[Question]]="Not used
"), "Shade", ""))</calculatedColumnFormula>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A93CBFD-2B48-4757-9948-4CC11BAA8494}" name="TBL_Q_11_IntSV_All" displayName="TBL_Q_11_IntSV_All" ref="A10:F70" totalsRowShown="0" headerRowDxfId="652" dataDxfId="650" headerRowBorderDxfId="651" tableBorderDxfId="649" totalsRowBorderDxfId="648">
  <autoFilter ref="A10:F70" xr:uid="{98A985D9-3ABD-4081-AF16-69A8B6F55F5E}"/>
  <tableColumns count="6">
    <tableColumn id="1" xr3:uid="{3E65FBAC-091D-459F-8365-B35B902C42B9}" name="Q. No." dataDxfId="647">
      <calculatedColumnFormula>IF(TBL_Q_11_IntSV_All[[#This Row],[Sub_No]]="N/A", TBL_Q_11_IntSV_All[[#This Row],[Q_No]], CONCATENATE(TBL_Q_11_IntSV_All[[#This Row],[Q_No]], TBL_Q_11_IntSV_All[[#This Row],[Sub_No]]))</calculatedColumnFormula>
    </tableColumn>
    <tableColumn id="2" xr3:uid="{E222235D-633A-4118-8859-A5830A4A8599}" name="Question" dataDxfId="646">
      <calculatedColumnFormula array="1">IF(OR(TBL_Q_11_IntSV_All[[#This Row],[Type]]="Question", TBL_Q_11_IntSV_All[[#This Row],[Type]]="Sub-question"), CONCATENATE(INDEX(TBL_ADD_04_Qs_All[Question / Sub-question], MATCH(1, (TBL_Q_11_IntSV_All[[#This Row],[Q. No.]]=TBL_ADD_04_Qs_All[Q.])*(TBL_Q_11_IntSV_All[[#This Row],[Type]]=TBL_ADD_04_Qs_All[Type]),0)), "
"), IF(INDEX(TBL_ADD_04_Qs_All[Question / Sub-question], MATCH(1, (TBL_Q_11_IntSV_All[[#This Row],[Q_No]]=TBL_ADD_04_Qs_All[Q.])*("Question"=TBL_ADD_04_Qs_All[Type]),0))="Not used", "Not used
", CONCATENATE(INDEX(TBL_ADD_04_Qs_All[Maximum marks available], MATCH(1, (TBL_Q_11_IntSV_All[[#This Row],[Q. No.]]=TBL_ADD_04_Qs_All[Q.])*("Question"=TBL_ADD_04_Qs_All[Type]),0)), "
")))</calculatedColumnFormula>
    </tableColumn>
    <tableColumn id="5" xr3:uid="{026F031F-1EF7-46D7-AD3F-A1033338AD91}" name="Type" dataDxfId="645"/>
    <tableColumn id="4" xr3:uid="{10113DAB-5AB9-4745-B2AF-8B9D661F23AB}" name="Q_No" dataDxfId="644"/>
    <tableColumn id="3" xr3:uid="{043E91A5-0838-485C-8D64-E71D6B410D0D}" name="Sub_No" dataDxfId="643"/>
    <tableColumn id="11" xr3:uid="{9242269E-6DDA-4301-9319-6E6E949BA9B6}" name="Shade?" dataDxfId="642">
      <calculatedColumnFormula array="1">IF($E$4="No", "Shade", IF(OR(INDEX(TBL_ADD_04_Qs_All[Question / Sub-question], MATCH(1, (TBL_Q_11_IntSV_All[[#This Row],[Q_No]]=TBL_ADD_04_Qs_All[Q.])*("Question"=TBL_ADD_04_Qs_All[Type]),0))="Not used", TBL_Q_11_IntSV_All[[#This Row],[Question]]="Not used
"), "Shade", ""))</calculatedColumnFormula>
    </tableColumn>
  </tableColumns>
  <tableStyleInfo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6B620BC2-4DE0-4DF6-B320-B61279274765}" name="TBL_PF_1" displayName="TBL_PF_1" ref="A8:G10" totalsRowShown="0" headerRowDxfId="641" dataDxfId="639" headerRowBorderDxfId="640" tableBorderDxfId="638" totalsRowBorderDxfId="637">
  <autoFilter ref="A8:G10" xr:uid="{F53DEAC5-61D9-4391-9D79-14E2DDE742D8}"/>
  <tableColumns count="7">
    <tableColumn id="1" xr3:uid="{557173CC-FEA9-4A1C-9888-ACE8567A3349}" name="Ref" dataDxfId="636"/>
    <tableColumn id="2" xr3:uid="{DBB82D6E-5200-49E5-96CA-D4B66602966A}" name="Description" dataDxfId="635"/>
    <tableColumn id="6" xr3:uid="{4B3A9F89-8F53-4A55-8FF8-7BAFF3250E68}" name="Adjustment % (+ or -)" dataDxfId="634"/>
    <tableColumn id="3" xr3:uid="{B804E64F-F1DB-46D1-B977-19A401124A54}" name="Figure for evaluation purposes" dataDxfId="633" dataCellStyle="Currency"/>
    <tableColumn id="7" xr3:uid="{7053B150-73BF-4BB8-96B0-0AA5AEAEFCC0}" name="Total For Evaluation" dataDxfId="632" dataCellStyle="Currency">
      <calculatedColumnFormula>IF(TBL_PF_1[[#This Row],[Check?]]="Add","Missing info",ROUND(TBL_PF_1[[#This Row],[Figure for evaluation purposes]]+(TBL_PF_1[[#This Row],[Figure for evaluation purposes]]*TBL_PF_1[[#This Row],[Adjustment % (+ or -)]]),2))</calculatedColumnFormula>
    </tableColumn>
    <tableColumn id="5" xr3:uid="{1DB64E30-7BB3-4B11-BB6B-5267CC4C135B}" name="Shade?" dataDxfId="631"/>
    <tableColumn id="4" xr3:uid="{05284179-E31F-4ADC-B26C-F298FD230B66}" name="Check?" dataDxfId="630">
      <calculatedColumnFormula>IF(TBL_PF_1[[#This Row],[Shade?]]&lt;&gt;"", "N/A", IF(TBL_PF_1[[#This Row],[Adjustment % (+ or -)]]&lt;&gt;"", "Done", "Add"))</calculatedColumnFormula>
    </tableColumn>
  </tableColumns>
  <tableStyleInfo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F2B6AC6-A5FE-4B56-BEED-EB28F2CF26D0}" name="TBL_PF_2B" displayName="TBL_PF_2B" ref="A15:G155" totalsRowShown="0" headerRowDxfId="629" dataDxfId="627" headerRowBorderDxfId="628" tableBorderDxfId="626" totalsRowBorderDxfId="625">
  <autoFilter ref="A15:G155" xr:uid="{F53DEAC5-61D9-4391-9D79-14E2DDE742D8}"/>
  <tableColumns count="7">
    <tableColumn id="1" xr3:uid="{4688B12E-1C55-44D6-BABE-4A1B6E23F13B}" name="Ref" dataDxfId="624"/>
    <tableColumn id="2" xr3:uid="{9DF8F1B5-6C14-42E8-91D6-5037F00E94F3}" name="UoM" dataDxfId="623"/>
    <tableColumn id="6" xr3:uid="{B218B241-A1FB-4DD9-9D4B-D122529ACB5B}" name="Description" dataDxfId="622"/>
    <tableColumn id="3" xr3:uid="{65641586-3F63-49C5-B0D9-A6D940ED68F9}" name="Rate" dataDxfId="621" dataCellStyle="Currency"/>
    <tableColumn id="7" xr3:uid="{8EF29F20-7C1D-4A1D-995A-604894A0F7E2}" name="Adjusted Rate" dataDxfId="620" dataCellStyle="Currency">
      <calculatedColumnFormula array="1">IF(COUNTIF(TBL_PF_2A[Check?],"Add")&gt;0,"Missing info",ROUND((TBL_PF_2A[[Adjustment ]]*(TBL_PF_2B[[#This Row],[Rate]])+TBL_PF_2B[[#This Row],[Rate]]),2))</calculatedColumnFormula>
    </tableColumn>
    <tableColumn id="5" xr3:uid="{6DE624FF-CA02-4233-BBB3-86D8EF7E25AF}" name="Shade?" dataDxfId="619"/>
    <tableColumn id="4" xr3:uid="{8319A635-3CB5-41AB-A479-4871DC67C18D}" name="Check?" dataDxfId="618"/>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BL_ADD_02_Project_Info" displayName="TBL_ADD_02_Project_Info" ref="A3:L204" totalsRowShown="0" headerRowDxfId="1345" dataDxfId="1343" headerRowBorderDxfId="1344" tableBorderDxfId="1342" totalsRowBorderDxfId="1341">
  <autoFilter ref="A3:L204" xr:uid="{00000000-000C-0000-FFFF-FFFF00000000}"/>
  <tableColumns count="12">
    <tableColumn id="9" xr3:uid="{9D1ADDD1-3EC9-4171-9E9A-37E49B64351D}" name="Type" dataDxfId="1340"/>
    <tableColumn id="4" xr3:uid="{0B79ACA0-5CA2-480B-8B96-95CD8A761706}" name="R_Check" dataDxfId="1339">
      <calculatedColumnFormula>IF(OR(TBL_ADD_02_Project_Info[[#This Row],[Type]]="Heading", TBL_ADD_02_Project_Info[[#This Row],[Y/N]]="No"), "", IF(TBL_ADD_02_Project_Info[[#This Row],[Response]]&lt;&gt;"", "", "Add"))</calculatedColumnFormula>
    </tableColumn>
    <tableColumn id="5" xr3:uid="{C99C69CB-BE5E-4E9D-BC36-55D7F7BE6C8A}" name="C_Check" dataDxfId="1338"/>
    <tableColumn id="7" xr3:uid="{3E574DF3-99F9-4B1C-9DF6-CBDBBBD0F2C3}" name="Lists / Data_V_Min" dataDxfId="1337"/>
    <tableColumn id="8" xr3:uid="{F285B4E2-73E8-4CB9-A762-9524898D07AF}" name="Data_V_Max" dataDxfId="1336"/>
    <tableColumn id="10" xr3:uid="{FD81C7AC-BCCB-48BB-BA54-0C54C7744DFE}" name="Format" dataDxfId="1335"/>
    <tableColumn id="11" xr3:uid="{52724E83-240E-4674-8AB1-8205CBD5F101}" name="Ref" dataDxfId="1334"/>
    <tableColumn id="12" xr3:uid="{E6747DB0-75D0-4D7C-8EA3-2467DD67B34E}" name="Lot" dataDxfId="1333"/>
    <tableColumn id="6" xr3:uid="{6AD7C6C0-4ADF-46EE-9E0E-8DA312E40163}" name="Y/N" dataDxfId="1332"/>
    <tableColumn id="1" xr3:uid="{00000000-0010-0000-0000-000001000000}" name="Query" dataDxfId="1331"/>
    <tableColumn id="2" xr3:uid="{00000000-0010-0000-0000-000002000000}" name="Response" dataDxfId="1330"/>
    <tableColumn id="3" xr3:uid="{00000000-0010-0000-0000-000003000000}" name="Comments" dataDxfId="1329"/>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3BEA45FE-1BE5-4DC6-97CD-4A3895D8C623}" name="TBL_PF_2A" displayName="TBL_PF_2A" ref="C10:G11" totalsRowShown="0" headerRowDxfId="617" dataDxfId="615" headerRowBorderDxfId="616" tableBorderDxfId="614" totalsRowBorderDxfId="613">
  <autoFilter ref="C10:G11" xr:uid="{3BEA45FE-1BE5-4DC6-97CD-4A3895D8C623}"/>
  <tableColumns count="5">
    <tableColumn id="1" xr3:uid="{E8BC1EFB-E0DF-4DFA-99BE-1D9B6E84DE60}" name="Description" dataDxfId="612" dataCellStyle="Currency"/>
    <tableColumn id="2" xr3:uid="{FA5BFEF3-658C-46AF-8CEB-B7EC95328AB1}" name="Adjustment " dataDxfId="611" dataCellStyle="Currency"/>
    <tableColumn id="5" xr3:uid="{081C511B-432D-4326-ACE9-16FF0636C454}" name="o" dataDxfId="610" dataCellStyle="Currency"/>
    <tableColumn id="3" xr3:uid="{863BF196-D2F3-4CAC-94B0-E4FE8E66E1AC}" name="Shade?" dataDxfId="609"/>
    <tableColumn id="4" xr3:uid="{0C4B5033-C816-4DFD-93D8-36A4B9DB1F32}" name="Check?" dataDxfId="608">
      <calculatedColumnFormula>IF(TBL_PF_2A[[#This Row],[Shade?]]&lt;&gt;"", "N/A", IF(TBL_PF_2A[[#This Row],[Adjustment ]]&lt;&gt;"", "Done", "Add"))</calculatedColumnFormula>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FB74F66-3896-4FC8-8377-6C7528570DDA}" name="TBL_PF_3B" displayName="TBL_PF_3B" ref="A16:H40" totalsRowShown="0" headerRowDxfId="607" dataDxfId="605" headerRowBorderDxfId="606" tableBorderDxfId="604" totalsRowBorderDxfId="603">
  <autoFilter ref="A16:H40" xr:uid="{F53DEAC5-61D9-4391-9D79-14E2DDE742D8}"/>
  <tableColumns count="8">
    <tableColumn id="1" xr3:uid="{E2CB3044-15C0-4301-8C56-6B7A03DB2113}" name="Ref" dataDxfId="602"/>
    <tableColumn id="2" xr3:uid="{56C34C55-A83C-442B-866A-0D88FA7141F6}" name="UoM" dataDxfId="601"/>
    <tableColumn id="6" xr3:uid="{CC0653AF-0C6E-4134-8D84-911FE0A20896}" name="Description" dataDxfId="600"/>
    <tableColumn id="3" xr3:uid="{45D32A9A-8BF2-4868-955A-31B6B44D5D88}" name="Rate" dataDxfId="599" dataCellStyle="Currency"/>
    <tableColumn id="7" xr3:uid="{7977A26E-EF2C-454E-8DF6-C53380006A72}" name="Repairs Adjusted Rate" dataDxfId="598" dataCellStyle="Currency">
      <calculatedColumnFormula>IF(COUNTIF($G$11,"Add")&gt;0,"Missing info",ROUND((REP_ELEC_ADJUSTMENT*TBL_PF_3B[[#This Row],[Rate]]+TBL_PF_3B[[#This Row],[Rate]]),2))</calculatedColumnFormula>
    </tableColumn>
    <tableColumn id="8" xr3:uid="{F12CB859-139D-41D4-8C07-9FE0C7A4910F}" name="Voids Adjusted Rate" dataDxfId="597" dataCellStyle="Currency">
      <calculatedColumnFormula>IF(COUNTIF($G$12,"Add")&gt;0,"Missing info",ROUND((VOID_ELEC_ADJUSTMENT*TBL_PF_3B[[#This Row],[Rate]]+TBL_PF_3B[[#This Row],[Rate]]),2))</calculatedColumnFormula>
    </tableColumn>
    <tableColumn id="5" xr3:uid="{19151A3E-5BC3-44B2-B9D1-36074C54A10C}" name="Shade?" dataDxfId="596"/>
    <tableColumn id="4" xr3:uid="{34C5F41E-CC09-41B8-8B8D-DC5FF8D6EE23}" name="Check?" dataDxfId="595"/>
  </tableColumns>
  <tableStyleInfo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50B51C6-84F9-41B0-853E-8D2C9F56CE17}" name="TBL_PF_3A" displayName="TBL_PF_3A" ref="C10:G12" totalsRowShown="0" headerRowDxfId="594" dataDxfId="592" headerRowBorderDxfId="593" tableBorderDxfId="591" totalsRowBorderDxfId="590">
  <autoFilter ref="C10:G12" xr:uid="{3BEA45FE-1BE5-4DC6-97CD-4A3895D8C623}"/>
  <tableColumns count="5">
    <tableColumn id="1" xr3:uid="{457D7495-76AA-4002-9BCA-FA1AF23FCD34}" name="Description" dataDxfId="589" dataCellStyle="Currency"/>
    <tableColumn id="2" xr3:uid="{765793B8-ABF0-4B68-8B6B-0DC3FC5B7098}" name="Adjustment " dataDxfId="588" dataCellStyle="Currency"/>
    <tableColumn id="5" xr3:uid="{3667F5A0-0F11-46C6-83A5-8B40863A2D92}" name="o" dataDxfId="587" dataCellStyle="Currency"/>
    <tableColumn id="3" xr3:uid="{C941AEC9-B889-4662-9A6B-129F276C0F1C}" name="Shade?" dataDxfId="586" dataCellStyle="Currency"/>
    <tableColumn id="4" xr3:uid="{23384BDC-9C37-41CD-AD2B-51C12AAEF23E}" name="Check?" dataDxfId="585">
      <calculatedColumnFormula>IF(TBL_PF_3A[[#This Row],[Shade?]]&lt;&gt;"", "N/A", IF(TBL_PF_3A[[#This Row],[Adjustment ]]&lt;&gt;"", "Done", "Add"))</calculatedColumnFormula>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A6BBE30B-C150-449B-BEE5-96C88EA64C88}" name="TBL_PF_4B" displayName="TBL_PF_4B" ref="A16:H28" totalsRowShown="0" headerRowDxfId="584" dataDxfId="582" headerRowBorderDxfId="583" tableBorderDxfId="581" totalsRowBorderDxfId="580">
  <autoFilter ref="A16:H28" xr:uid="{F53DEAC5-61D9-4391-9D79-14E2DDE742D8}"/>
  <tableColumns count="8">
    <tableColumn id="1" xr3:uid="{7E50C074-65D9-445C-9B00-C8119ABDE32F}" name="Ref" dataDxfId="579"/>
    <tableColumn id="2" xr3:uid="{265DED60-6BFE-45F5-8C2E-4711D7EC0569}" name="UoM" dataDxfId="578"/>
    <tableColumn id="6" xr3:uid="{0C2C7E72-CE9B-4298-8FD7-B2B8D96E3D07}" name="Description" dataDxfId="577"/>
    <tableColumn id="3" xr3:uid="{5ED56C33-5A25-4A02-AC09-13E5E3820DC9}" name="Rate" dataDxfId="576" dataCellStyle="Currency"/>
    <tableColumn id="7" xr3:uid="{79E42D97-8AC0-4EB4-ABF4-8B91E32B12A6}" name="Repairs Adjusted Rate" dataDxfId="575" dataCellStyle="Currency">
      <calculatedColumnFormula>IF(COUNTIF($G$11,"Add")&gt;0,"Missing info",ROUND((REP_DECENT_BASKET*TBL_PF_4B[[#This Row],[Rate]]+TBL_PF_4B[[#This Row],[Rate]]),2))</calculatedColumnFormula>
    </tableColumn>
    <tableColumn id="8" xr3:uid="{82354E04-FF09-4632-A9FB-C09BAE827955}" name="Voids Adjusted Rate" dataDxfId="574" dataCellStyle="Currency">
      <calculatedColumnFormula>IF(COUNTIF($G$12,"Add")&gt;0,"Missing info",ROUND((VOID_DECENT_BASKET*TBL_PF_4B[[#This Row],[Rate]]+TBL_PF_4B[[#This Row],[Rate]]),2))</calculatedColumnFormula>
    </tableColumn>
    <tableColumn id="5" xr3:uid="{AD2957B1-A154-4725-8925-A77A774E274F}" name="Shade?" dataDxfId="573"/>
    <tableColumn id="4" xr3:uid="{62CD9C83-8088-48EB-A38E-83A5085AAC92}" name="Check?" dataDxfId="572"/>
  </tableColumns>
  <tableStyleInfo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B127366A-AA8D-44C2-BD65-6505EB31BD28}" name="TBL_PF_4A" displayName="TBL_PF_4A" ref="C10:G12" totalsRowShown="0" headerRowDxfId="571" dataDxfId="569" headerRowBorderDxfId="570" tableBorderDxfId="568" totalsRowBorderDxfId="567">
  <autoFilter ref="C10:G12" xr:uid="{3BEA45FE-1BE5-4DC6-97CD-4A3895D8C623}"/>
  <tableColumns count="5">
    <tableColumn id="1" xr3:uid="{0D61E00A-5952-4FB4-85EC-582191FCE644}" name="Description" dataDxfId="566" dataCellStyle="Currency"/>
    <tableColumn id="2" xr3:uid="{7F0D6A7F-8D3D-4196-B74E-8E0693290780}" name="Adjustment " dataDxfId="565" dataCellStyle="Currency"/>
    <tableColumn id="5" xr3:uid="{1ECE35CD-808A-442D-A7D0-BC21937172A1}" name="o" dataDxfId="564" dataCellStyle="Currency"/>
    <tableColumn id="3" xr3:uid="{747B6D40-5CA8-492F-93AF-5B0F1A5A7A8F}" name="Shade?" dataDxfId="563" dataCellStyle="Currency"/>
    <tableColumn id="4" xr3:uid="{05D91A05-11F1-4D96-8F63-A5E446990A8A}" name="Check?" dataDxfId="562">
      <calculatedColumnFormula>IF(TBL_PF_4A[[#This Row],[Shade?]]&lt;&gt;"", "N/A", IF(TBL_PF_4A[[#This Row],[Adjustment ]]&lt;&gt;"", "Done", "Add"))</calculatedColumnFormula>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6F4E003-208C-4B14-8104-FC5A1DDBD1E4}" name="TBL_PF_3" displayName="TBL_PF_3" ref="A8:H22" totalsRowShown="0" headerRowDxfId="561" dataDxfId="559" headerRowBorderDxfId="560" tableBorderDxfId="558" totalsRowBorderDxfId="557">
  <autoFilter ref="A8:H22" xr:uid="{F53DEAC5-61D9-4391-9D79-14E2DDE742D8}"/>
  <tableColumns count="8">
    <tableColumn id="1" xr3:uid="{646DD10E-6B9B-47DB-A106-BCFA612478C6}" name="Ref" dataDxfId="556"/>
    <tableColumn id="2" xr3:uid="{A1923D90-817C-4A58-8F0B-9D2BA983285E}" name="Description" dataDxfId="555"/>
    <tableColumn id="6" xr3:uid="{0ABA68D1-51CB-46A0-AEC6-9FEDEE7EA6F8}" name="UoM" dataDxfId="554"/>
    <tableColumn id="7" xr3:uid="{EBB4851A-A715-4E67-B0CF-3F390409C86A}" name="Indicative Quantity" dataDxfId="553"/>
    <tableColumn id="3" xr3:uid="{75C42A4E-1566-4C70-BBC9-38A30C22CE62}" name="Rate" dataDxfId="552" dataCellStyle="Currency"/>
    <tableColumn id="8" xr3:uid="{5AD8E482-264D-4322-9479-F48C2DD5494E}" name="Total (Rate x Qty)" dataDxfId="551" dataCellStyle="Currency">
      <calculatedColumnFormula>IF(TBL_PF_3[[#This Row],[Check?]]="Add", "Missing info", ROUND(TBL_PF_3[[#This Row],[Rate]]*TBL_PF_3[[#This Row],[Indicative Quantity]], 2))</calculatedColumnFormula>
    </tableColumn>
    <tableColumn id="5" xr3:uid="{311E8FB2-FB70-4D12-B7BD-1955A392722A}" name="Shade?" dataDxfId="550"/>
    <tableColumn id="4" xr3:uid="{D6CF714D-040D-42AD-85A6-8E85A95259DE}" name="Check?" dataDxfId="549">
      <calculatedColumnFormula>IF(TBL_PF_3[[#This Row],[Shade?]]&lt;&gt;"", "N/A", IF(TBL_PF_3[[#This Row],[Rate]]&lt;&gt;"", "Done", "Add"))</calculatedColumnFormula>
    </tableColumn>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84B732E-0E0B-426F-8D68-5FDCE31D4F29}" name="TBL_PF_XX" displayName="TBL_PF_XX" ref="A14:F15" totalsRowShown="0" headerRowDxfId="548" dataDxfId="546" headerRowBorderDxfId="547" tableBorderDxfId="545" totalsRowBorderDxfId="544">
  <autoFilter ref="A14:F15" xr:uid="{F53DEAC5-61D9-4391-9D79-14E2DDE742D8}"/>
  <tableColumns count="6">
    <tableColumn id="1" xr3:uid="{AFBB55D0-2F4D-43E6-93C1-966D2049BC34}" name="Ref" dataDxfId="543"/>
    <tableColumn id="2" xr3:uid="{B6F375CB-5C61-4D4A-94CE-F8AB6ADC7F83}" name="Description" dataDxfId="542"/>
    <tableColumn id="6" xr3:uid="{6BE06863-287C-4205-BC79-19F5960EBD64}" name="UoM" dataDxfId="541"/>
    <tableColumn id="3" xr3:uid="{2D100BE0-28F7-449B-863A-0B4483A07060}" name="Rate" dataDxfId="540" dataCellStyle="Currency"/>
    <tableColumn id="5" xr3:uid="{829994A5-9234-4683-9C16-4012AA89CE5D}" name="Shade?" dataDxfId="539"/>
    <tableColumn id="4" xr3:uid="{71D8AF3B-8DA8-4D8F-AC2C-8ED33813F0DF}" name="Check?" dataDxfId="538">
      <calculatedColumnFormula>IF(TBL_PF_XX[[#This Row],[Shade?]]&lt;&gt;"", "N/A", IF(TBL_PF_XX[[#This Row],[Rate]]&lt;&gt;"", "Done", "Add"))</calculatedColumnFormula>
    </tableColumn>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4F9E16F-0309-4720-8D9C-AA7EB318CAFF}" name="TBL_PF_X13" displayName="TBL_PF_X13" ref="A10:F15" totalsRowShown="0" headerRowDxfId="537" dataDxfId="535" headerRowBorderDxfId="536" tableBorderDxfId="534" totalsRowBorderDxfId="533">
  <autoFilter ref="A10:F15" xr:uid="{F53DEAC5-61D9-4391-9D79-14E2DDE742D8}"/>
  <tableColumns count="6">
    <tableColumn id="1" xr3:uid="{5826EAD3-29FF-4706-973A-316FC307D665}" name="Ref" dataDxfId="532"/>
    <tableColumn id="2" xr3:uid="{84852931-0628-46A6-A479-AC74AB65845A}" name="Description" dataDxfId="531"/>
    <tableColumn id="6" xr3:uid="{C408A6F8-9B93-4BFA-885D-F6E4349A751E}" name="UoM" dataDxfId="530"/>
    <tableColumn id="3" xr3:uid="{111A7EE6-3A98-4D9E-BE32-157780107927}" name="Rate" dataDxfId="529" dataCellStyle="Currency"/>
    <tableColumn id="5" xr3:uid="{7A47FF90-FFD2-4812-96C7-965862402062}" name="Shade?" dataDxfId="528"/>
    <tableColumn id="4" xr3:uid="{012747A6-DE70-4B71-822E-B167C85E62D9}" name="Check?" dataDxfId="527">
      <calculatedColumnFormula>IF(TBL_PF_X13[[#This Row],[Shade?]]&lt;&gt;"", "N/A", IF(TBL_PF_X13[[#This Row],[Rate]]&lt;&gt;"", "Done", "Add"))</calculatedColumnFormula>
    </tableColumn>
  </tableColumns>
  <tableStyleInfo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BABCA3C-1BB1-4CE2-8D00-6204B024738A}" name="TBL_PF_X15" displayName="TBL_PF_X15" ref="A8:F13" totalsRowShown="0" headerRowDxfId="526" dataDxfId="524" headerRowBorderDxfId="525" tableBorderDxfId="523" totalsRowBorderDxfId="522">
  <autoFilter ref="A8:F13" xr:uid="{F53DEAC5-61D9-4391-9D79-14E2DDE742D8}"/>
  <tableColumns count="6">
    <tableColumn id="1" xr3:uid="{521C3E9C-491C-4243-9536-DCCBD979F2CD}" name="Ref" dataDxfId="521"/>
    <tableColumn id="2" xr3:uid="{3AAC4670-B0C7-4A1C-B6BE-070F2EB67B3F}" name="Description" dataDxfId="520"/>
    <tableColumn id="6" xr3:uid="{4602D7EF-511F-4CA7-8308-D5B6D50C1B87}" name="UoM" dataDxfId="519"/>
    <tableColumn id="3" xr3:uid="{05064581-98D0-41DA-963C-A6E65D2CFD96}" name="Rate" dataDxfId="518" dataCellStyle="Currency"/>
    <tableColumn id="5" xr3:uid="{3520ED5A-95A1-4144-B67C-0D687E14AE8A}" name="Shade?" dataDxfId="517"/>
    <tableColumn id="4" xr3:uid="{1F61D29D-9A24-4D51-93A6-CB85B14BFEE9}" name="Check?" dataDxfId="516">
      <calculatedColumnFormula>IF(TBL_PF_X15[[#This Row],[Shade?]]&lt;&gt;"", "N/A", IF(TBL_PF_X15[[#This Row],[Rate]]&lt;&gt;"", "Done", "Add"))</calculatedColumnFormula>
    </tableColumn>
  </tableColumns>
  <tableStyleInfo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D28A70E-DC95-4DF0-B162-9EC32A6DFD9C}" name="TBL_PF_X16" displayName="TBL_PF_X16" ref="A8:F13" totalsRowShown="0" headerRowDxfId="515" dataDxfId="513" headerRowBorderDxfId="514" tableBorderDxfId="512" totalsRowBorderDxfId="511">
  <autoFilter ref="A8:F13" xr:uid="{F53DEAC5-61D9-4391-9D79-14E2DDE742D8}"/>
  <tableColumns count="6">
    <tableColumn id="1" xr3:uid="{3A6D4061-A9F6-4C4D-AF74-5A847D8CF230}" name="Ref" dataDxfId="510"/>
    <tableColumn id="2" xr3:uid="{9D1D7AEE-7A2C-45F1-8E34-6DE1125C88C6}" name="Description" dataDxfId="509"/>
    <tableColumn id="6" xr3:uid="{66E9829B-9FBE-40B0-BA81-2D2F953E5CC9}" name="UoM" dataDxfId="508"/>
    <tableColumn id="3" xr3:uid="{0494A21D-4CB2-439B-AA76-A6867A4E5CF2}" name="Rate" dataDxfId="507" dataCellStyle="Currency"/>
    <tableColumn id="5" xr3:uid="{CBCE3EE0-F5D3-40C9-B46A-0CB21DC5FD36}" name="Shade?" dataDxfId="506"/>
    <tableColumn id="4" xr3:uid="{06261AF9-E580-4378-ACD3-79983D66D3E1}" name="Check?" dataDxfId="505">
      <calculatedColumnFormula>IF(TBL_PF_X16[[#This Row],[Shade?]]&lt;&gt;"", "N/A", IF(TBL_PF_X16[[#This Row],[Rate]]&lt;&gt;"", "Done", "Add"))</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BL_ADD_03_Dates" displayName="TBL_ADD_03_Dates" ref="A3:I51" totalsRowShown="0" headerRowDxfId="1328" dataDxfId="1326" headerRowBorderDxfId="1327" tableBorderDxfId="1325" totalsRowBorderDxfId="1324">
  <autoFilter ref="A3:I51" xr:uid="{00000000-0009-0000-0100-000002000000}">
    <filterColumn colId="5">
      <filters>
        <filter val="Yes"/>
      </filters>
    </filterColumn>
  </autoFilter>
  <tableColumns count="9">
    <tableColumn id="9" xr3:uid="{D0935766-9165-4D27-B3F3-9A1CF18ECB9E}" name="Type" dataDxfId="1323"/>
    <tableColumn id="6" xr3:uid="{3655FCDC-98D4-41CF-955F-43E9CD6B5E18}" name="Stage" dataDxfId="1322"/>
    <tableColumn id="7" xr3:uid="{7262DACF-CC8A-4871-AE8B-E59BF4F6E204}" name="Activity" dataDxfId="1321"/>
    <tableColumn id="5" xr3:uid="{A81CEEC3-FAC0-4EC8-A223-B224953D00FC}" name="D_Check" dataDxfId="1320">
      <calculatedColumnFormula>IF(OR(TBL_ADD_03_Dates[[#This Row],[Y/N]]="No", TBL_ADD_03_Dates[[#This Row],[Type]]="Heading"), "", IF(TBL_ADD_03_Dates[[#This Row],[Date]]&lt;&gt;"", "", "Add"))</calculatedColumnFormula>
    </tableColumn>
    <tableColumn id="4" xr3:uid="{887CC2AD-292A-4758-B198-3506701E9EB1}" name="Working day?" dataDxfId="1319"/>
    <tableColumn id="8" xr3:uid="{0CB1636D-F943-4E72-84BD-AC12FE3DC87E}" name="Y/N" dataDxfId="1318"/>
    <tableColumn id="1" xr3:uid="{00000000-0010-0000-0100-000001000000}" name="Title" dataDxfId="1317"/>
    <tableColumn id="2" xr3:uid="{00000000-0010-0000-0100-000002000000}" name="Date" dataDxfId="1316"/>
    <tableColumn id="3" xr3:uid="{00000000-0010-0000-0100-000003000000}" name="Day of the Week" dataDxfId="1315">
      <calculatedColumnFormula>IF(TBL_ADD_03_Dates[[#This Row],[Type]]="Heading", "", IF(TBL_ADD_03_Dates[[#This Row],[Activity]]="Time", "Note: use XX:XX format", IF(TBL_ADD_03_Dates[[#This Row],[Date]]="N/A", "N/A", IF(TBL_ADD_03_Dates[[#This Row],[Date]]&lt;&gt;"", TEXT(TBL_ADD_03_Dates[[#This Row],[Date]], "DDDD"), ""))))</calculatedColumnFormula>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90324D1-B15E-4E45-899D-EC181189D76C}" name="TBL_PF_02_Summary_All" displayName="TBL_PF_02_Summary_All" ref="A9:E21" totalsRowShown="0" headerRowBorderDxfId="504" tableBorderDxfId="503" totalsRowBorderDxfId="502">
  <autoFilter ref="A9:E21" xr:uid="{690324D1-B15E-4E45-899D-EC181189D76C}"/>
  <tableColumns count="5">
    <tableColumn id="1" xr3:uid="{93D508EE-EB0E-424C-81C6-511F95C9BA3C}" name="Ref" dataDxfId="501"/>
    <tableColumn id="7" xr3:uid="{DA6E3347-2CD2-4708-AF20-936A436BD77B}" name="Price Heading" dataDxfId="500">
      <calculatedColumnFormula array="1">IFERROR(IF(INDEX(TBL_ADD_05_Prices_All[Description], MATCH(1, (TBL_ADD_05_Prices_All[Ref]=TBL_PF_02_Summary_All[[#This Row],[Ref]])*(TBL_ADD_05_Prices_All[Check_1]=""), 0))&lt;&gt;"", INDEX(TBL_ADD_05_Prices_All[Description], MATCH(1, (TBL_ADD_05_Prices_All[Ref]=TBL_PF_02_Summary_All[[#This Row],[Ref]])*(TBL_ADD_05_Prices_All[Check_1]=""), 0)), IF(TBL_PF_02_Summary_All[[#This Row],[Ref]]=1, "[Complete pricing tables on 'Doc_Tables 3' tab]", "[Delete this row]")), IF(TBL_PF_02_Summary_All[[#This Row],[Ref]]=1, "[Complete pricing tables on 'Doc_Tables 3' tab]", "[Delete this row]"))</calculatedColumnFormula>
    </tableColumn>
    <tableColumn id="2" xr3:uid="{B3B77812-374D-4071-AD76-BA40BD6B119F}" name="Price Element" dataDxfId="499">
      <calculatedColumnFormula array="1">IFERROR(IF(INDEX(#REF!, MATCH(1, (#REF!=TBL_PF_02_Summary_All[[#This Row],[Ref]])*(#REF!=""), 0))&lt;&gt;"", INDEX(#REF!, MATCH(1, (#REF!=TBL_PF_02_Summary_All[[#This Row],[Ref]])*(#REF!=""), 0)), IF(TBL_PF_02_Summary_All[[#This Row],[Ref]]=1, "[Complete pricing tables on 'Doc_Tables 2' tab]", "[Delete this row]")), IF(TBL_PF_02_Summary_All[[#This Row],[Ref]]=1, "[Complete pricing tables on 'Doc_Tables 2' tab]", "[Delete this row]"))</calculatedColumnFormula>
    </tableColumn>
    <tableColumn id="3" xr3:uid="{231FC147-6B55-4F60-8FBC-DAE83D8DDA63}" name="Total_x000a_(for evaluation)" dataDxfId="498"/>
    <tableColumn id="4" xr3:uid="{428AF7C0-0694-40F0-9823-CF585A67230E}" name="Check" dataDxfId="497"/>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E2BEB1A2-720D-4420-9A6C-E64743631825}" name="TBL_DATA_01_Response" displayName="TBL_DATA_01_Response" ref="A1:I2" totalsRowShown="0" headerRowDxfId="496" dataDxfId="495">
  <autoFilter ref="A1:I2" xr:uid="{00000000-0009-0000-0100-000009000000}"/>
  <tableColumns count="9">
    <tableColumn id="47" xr3:uid="{4A8DDC07-96A0-48BA-87DF-4507FEC3B6DF}" name="1_1_Tenderer" dataDxfId="494">
      <calculatedColumnFormula>'Contact Details'!C9</calculatedColumnFormula>
    </tableColumn>
    <tableColumn id="3" xr3:uid="{C7CC764B-B118-4208-B094-44C0346E0B19}" name="1_3_Name" dataDxfId="493">
      <calculatedColumnFormula>'Contact Details'!C11</calculatedColumnFormula>
    </tableColumn>
    <tableColumn id="48" xr3:uid="{ECA95742-72C4-449D-9BD3-33F0AC21D10B}" name="1_3_Address_1" dataDxfId="492">
      <calculatedColumnFormula>'Contact Details'!C12</calculatedColumnFormula>
    </tableColumn>
    <tableColumn id="4" xr3:uid="{C0F53DE7-0754-4CE0-BA22-A60E9ECE59CC}" name="1_3_Address_2" dataDxfId="491">
      <calculatedColumnFormula>'Contact Details'!C13</calculatedColumnFormula>
    </tableColumn>
    <tableColumn id="5" xr3:uid="{F307051D-5C6B-491F-B03C-AC319475F5C1}" name="1_3_Address_3" dataDxfId="490">
      <calculatedColumnFormula>'Contact Details'!C14</calculatedColumnFormula>
    </tableColumn>
    <tableColumn id="6" xr3:uid="{52723129-680A-46CC-AA96-7F19ED4AA1C2}" name="1_3_Address_4" dataDxfId="489">
      <calculatedColumnFormula>'Contact Details'!C15</calculatedColumnFormula>
    </tableColumn>
    <tableColumn id="7" xr3:uid="{9D222BE8-B94A-4548-9BAE-63EB5041A42D}" name="1_3_Address_5" dataDxfId="488"/>
    <tableColumn id="16" xr3:uid="{B189D776-DA9F-450E-BE3F-17A7204226A4}" name="1_3_Phone" dataDxfId="487">
      <calculatedColumnFormula>'Contact Details'!C17</calculatedColumnFormula>
    </tableColumn>
    <tableColumn id="13" xr3:uid="{14178445-1F98-40F1-ADB3-DE4E844FEA9A}" name="1_3_E-mail" dataDxfId="486">
      <calculatedColumnFormula>'Contact Details'!C19</calculatedColumnFormula>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D612A187-55AB-45CD-A0A0-06E1BA671B91}" name="TBL_RES_02_Lots" displayName="TBL_RES_02_Lots" ref="A4:F6" totalsRowShown="0" headerRowDxfId="485" dataDxfId="484">
  <autoFilter ref="A4:F6" xr:uid="{AE04CE6B-BD65-4E0F-AED2-718CC860E239}"/>
  <tableColumns count="6">
    <tableColumn id="3" xr3:uid="{81602EB2-6895-45C2-AF94-93CB68DDEC26}" name="Lots?" dataDxfId="483"/>
    <tableColumn id="4" xr3:uid="{660468E6-32CC-4766-AD2B-D8BA5408D83A}" name="Lot_1" dataDxfId="482">
      <calculatedColumnFormula>IF(REF_Lotted="Yes", REF_Lot_1, "Yes")</calculatedColumnFormula>
    </tableColumn>
    <tableColumn id="5" xr3:uid="{7359D8E9-0C97-4CCC-A360-2C8D7EB896F7}" name="Lot_2" dataDxfId="481">
      <calculatedColumnFormula>IF(AND(REF_Lotted="Yes", REF_No_Lots&gt;=2), REF_Lot_2, "N/A")</calculatedColumnFormula>
    </tableColumn>
    <tableColumn id="6" xr3:uid="{B5F1929F-DF51-4F34-887A-4040DABB519D}" name="Lot_3" dataDxfId="480">
      <calculatedColumnFormula>IF(AND(REF_Lotted="Yes", REF_No_Lots&gt;=3), REF_Lot_3, "N/A")</calculatedColumnFormula>
    </tableColumn>
    <tableColumn id="7" xr3:uid="{2C830BC5-BFFE-4CEA-8742-689683EEB480}" name="Lot_4" dataDxfId="479">
      <calculatedColumnFormula>IF(AND(REF_Lotted="Yes", REF_No_Lots&gt;=4), REF_Lot_4, "N/A")</calculatedColumnFormula>
    </tableColumn>
    <tableColumn id="8" xr3:uid="{428EC868-7403-427A-8CCD-F05D642D2484}" name="Lot_5" dataDxfId="478">
      <calculatedColumnFormula>IF(AND(REF_Lotted="Yes", REF_No_Lots&gt;=5), REF_Lot_5, "N/A")</calculatedColumnFormula>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3" xr:uid="{9312E2B7-BAB9-4D51-9E28-247A4C9FF11A}" name="TBL_DATA_04_Response" displayName="TBL_DATA_04_Response" ref="A11:AY16" totalsRowShown="0" headerRowDxfId="477" dataDxfId="476">
  <autoFilter ref="A11:AY16" xr:uid="{1DCD58E4-F9B9-4DBE-A400-8247AD50E8CB}"/>
  <tableColumns count="51">
    <tableColumn id="3" xr3:uid="{8885DE41-ED94-4A98-AE44-7143D2F44648}" name="PF_Complete?" dataDxfId="475">
      <calculatedColumnFormula>IF(COUNTIF(#REF!, "Incomplete")&gt;0, "Incomplete", "Complete")</calculatedColumnFormula>
    </tableColumn>
    <tableColumn id="4" xr3:uid="{C52D8D11-5A65-4B53-8B46-88619792CC20}" name="Lot_1_Price_1" dataDxfId="474" dataCellStyle="Currency">
      <calculatedColumnFormula array="1">IF(REF_Lotted="Yes", IF(REF_Lot_1="No", "N/A", IFERROR(INDEX(#REF!, MATCH(1, (1=#REF!)*("Yes"=#REF!),0)), "N/A")), IFERROR(INDEX(#REF!, MATCH(1, (1=#REF!)*("Yes"=#REF!),0)), "N/A"))</calculatedColumnFormula>
    </tableColumn>
    <tableColumn id="5" xr3:uid="{BB1B14FC-CF56-4C35-A1FA-D597D69DA5C9}" name="Lot_1_Price_2" dataDxfId="473" dataCellStyle="Currency">
      <calculatedColumnFormula array="1">IF(REF_Lotted="Yes", IF(REF_Lot_1="No", "N/A", IFERROR(INDEX(#REF!, MATCH(1, (2=#REF!)*("Yes"=#REF!),0)), "N/A")), IFERROR(INDEX(#REF!, MATCH(1, (2=#REF!)*("Yes"=#REF!),0)), "N/A"))</calculatedColumnFormula>
    </tableColumn>
    <tableColumn id="6" xr3:uid="{42D07321-8689-4111-A61D-CA9D0FA0913C}" name="Lot_1_Price_3" dataDxfId="472" dataCellStyle="Currency">
      <calculatedColumnFormula array="1">IF(REF_Lotted="Yes", IF(REF_Lot_1="No", "N/A", IFERROR(INDEX(#REF!, MATCH(1, (3=#REF!)*("Yes"=#REF!),0)), "N/A")), IFERROR(INDEX(#REF!, MATCH(1, (3=#REF!)*("Yes"=#REF!),0)), "N/A"))</calculatedColumnFormula>
    </tableColumn>
    <tableColumn id="7" xr3:uid="{855A027F-071C-4EB3-B940-E4A8939ADC16}" name="Lot_1_Price_4" dataDxfId="471" dataCellStyle="Currency">
      <calculatedColumnFormula array="1">IF(REF_Lotted="Yes", IF(REF_Lot_1="No", "N/A", IFERROR(INDEX(#REF!, MATCH(1, (4=#REF!)*("Yes"=#REF!),0)), "N/A")), IFERROR(INDEX(#REF!, MATCH(1, (4=#REF!)*("Yes"=#REF!),0)), "N/A"))</calculatedColumnFormula>
    </tableColumn>
    <tableColumn id="8" xr3:uid="{D1E195A7-9BCB-4031-A119-427042997DB9}" name="Lot_1_Price_5" dataDxfId="470" dataCellStyle="Currency">
      <calculatedColumnFormula array="1">IF(REF_Lotted="Yes", IF(REF_Lot_1="No", "N/A", IFERROR(INDEX(#REF!, MATCH(1, (5=#REF!)*("Yes"=#REF!),0)), "N/A")), IFERROR(INDEX(#REF!, MATCH(1, (5=#REF!)*("Yes"=#REF!),0)), "N/A"))</calculatedColumnFormula>
    </tableColumn>
    <tableColumn id="9" xr3:uid="{BC72A233-5F3C-4323-AD48-43920AB1AB32}" name="Lot_1_Price_6" dataDxfId="469" dataCellStyle="Currency">
      <calculatedColumnFormula array="1">IF(REF_Lotted="Yes", IF(REF_Lot_1="No", "N/A", IFERROR(INDEX(#REF!, MATCH(1, (6=#REF!)*("Yes"=#REF!),0)), "N/A")), IFERROR(INDEX(#REF!, MATCH(1, (6=#REF!)*("Yes"=#REF!),0)), "N/A"))</calculatedColumnFormula>
    </tableColumn>
    <tableColumn id="10" xr3:uid="{60DAB52C-B8C7-4A58-B297-BC9E55B20B56}" name="Lot_1_Price_7" dataDxfId="468" dataCellStyle="Currency">
      <calculatedColumnFormula array="1">IF(REF_Lotted="Yes", IF(REF_Lot_1="No", "N/A", IFERROR(INDEX(#REF!, MATCH(1, (7=#REF!)*("Yes"=#REF!),0)), "N/A")), IFERROR(INDEX(#REF!, MATCH(1, (7=#REF!)*("Yes"=#REF!),0)), "N/A"))</calculatedColumnFormula>
    </tableColumn>
    <tableColumn id="11" xr3:uid="{280C990C-9E39-4F64-9B78-91A5F2B714A9}" name="Lot_1_Price_8" dataDxfId="467" dataCellStyle="Currency">
      <calculatedColumnFormula array="1">IF(REF_Lotted="Yes", IF(REF_Lot_1="No", "N/A", IFERROR(INDEX(#REF!, MATCH(1, (8=#REF!)*("Yes"=#REF!),0)), "N/A")), IFERROR(INDEX(#REF!, MATCH(1, (8=#REF!)*("Yes"=#REF!),0)), "N/A"))</calculatedColumnFormula>
    </tableColumn>
    <tableColumn id="12" xr3:uid="{E9084631-FACD-4806-92D3-4509F4112899}" name="Lot_1_Price_9" dataDxfId="466" dataCellStyle="Currency">
      <calculatedColumnFormula array="1">IF(REF_Lotted="Yes", IF(REF_Lot_1="No", "N/A", IFERROR(INDEX(#REF!, MATCH(1, (9=#REF!)*("Yes"=#REF!),0)), "N/A")), IFERROR(INDEX(#REF!, MATCH(1, (9=#REF!)*("Yes"=#REF!),0)), "N/A"))</calculatedColumnFormula>
    </tableColumn>
    <tableColumn id="13" xr3:uid="{89D04BA5-221E-44E9-8FD7-FFBE230981A2}" name="Lot_1_Price_10" dataDxfId="465" dataCellStyle="Currency">
      <calculatedColumnFormula array="1">IF(REF_Lotted="Yes", IF(REF_Lot_1="No", "N/A", IFERROR(INDEX(#REF!, MATCH(1, (10=#REF!)*("Yes"=#REF!),0)), "N/A")), IFERROR(INDEX(#REF!, MATCH(1, (10=#REF!)*("Yes"=#REF!),0)), "N/A"))</calculatedColumnFormula>
    </tableColumn>
    <tableColumn id="14" xr3:uid="{676B4539-E53D-495D-ACAF-B533259872BF}" name="Lot_2_Price_1" dataDxfId="464" dataCellStyle="Currency"/>
    <tableColumn id="15" xr3:uid="{66E54A13-21BD-45DA-8974-ACFC095C6DBC}" name="Lot_2_Price_2" dataDxfId="463" dataCellStyle="Currency"/>
    <tableColumn id="16" xr3:uid="{366E3925-8A37-40CA-A761-2E1E9D542F74}" name="Lot_2_Price_3" dataDxfId="462" dataCellStyle="Currency"/>
    <tableColumn id="17" xr3:uid="{C41AF73D-11A5-4239-9CC7-89EA56E7B0CF}" name="Lot_2_Price_4" dataDxfId="461" dataCellStyle="Currency"/>
    <tableColumn id="18" xr3:uid="{5E0EE3DC-935A-4520-9289-D5E37A2195D2}" name="Lot_2_Price_5" dataDxfId="460" dataCellStyle="Currency"/>
    <tableColumn id="19" xr3:uid="{8F76E13E-A047-4891-8F65-A9818CB3E26F}" name="Lot_2_Price_6" dataDxfId="459" dataCellStyle="Currency"/>
    <tableColumn id="20" xr3:uid="{79E8A5D5-E3DF-4C21-96E5-7C3ADDFA0E30}" name="Lot_2_Price_7" dataDxfId="458" dataCellStyle="Currency"/>
    <tableColumn id="21" xr3:uid="{746F1610-8048-4EC2-BF26-2A25321E78B4}" name="Lot_2_Price_8" dataDxfId="457" dataCellStyle="Currency"/>
    <tableColumn id="22" xr3:uid="{385004C6-8482-467D-88A3-6DDEFF6CCE59}" name="Lot_2_Price_9" dataDxfId="456" dataCellStyle="Currency"/>
    <tableColumn id="23" xr3:uid="{34D6F935-245F-4935-BBA7-0A796212961F}" name="Lot_2_Price_10" dataDxfId="455" dataCellStyle="Currency"/>
    <tableColumn id="24" xr3:uid="{4CFDC4BB-BC98-4BE8-B412-9865E47452D9}" name="Lot_3_Price_1" dataDxfId="454" dataCellStyle="Currency"/>
    <tableColumn id="25" xr3:uid="{403AF949-8859-44AB-B8D3-82F6F9DC4B5B}" name="Lot_3_Price_2" dataDxfId="453" dataCellStyle="Currency"/>
    <tableColumn id="26" xr3:uid="{381B3634-A438-405F-BC5E-7672AA98B451}" name="Lot_3_Price_3" dataDxfId="452" dataCellStyle="Currency"/>
    <tableColumn id="27" xr3:uid="{F30B37E1-F89B-4731-8B5C-4D0894016212}" name="Lot_3_Price_4" dataDxfId="451" dataCellStyle="Currency"/>
    <tableColumn id="28" xr3:uid="{C323DCCE-0E9A-46D5-A5F2-1E3B0C347F49}" name="Lot_3_Price_5" dataDxfId="450" dataCellStyle="Currency"/>
    <tableColumn id="29" xr3:uid="{B6A3E5B5-0163-43F3-A58F-C107E35F114F}" name="Lot_3_Price_6" dataDxfId="449" dataCellStyle="Currency"/>
    <tableColumn id="30" xr3:uid="{D4177C79-9FEE-4ACA-970E-1C4A0784235D}" name="Lot_3_Price_7" dataDxfId="448" dataCellStyle="Currency"/>
    <tableColumn id="31" xr3:uid="{2633E89D-C1F3-4E13-9C97-796F7AC4B7A8}" name="Lot_3_Price_8" dataDxfId="447" dataCellStyle="Currency"/>
    <tableColumn id="32" xr3:uid="{E4A85F70-4C77-401B-9C1D-F38E22443933}" name="Lot_3_Price_9" dataDxfId="446" dataCellStyle="Currency"/>
    <tableColumn id="33" xr3:uid="{4B7AC5FA-205A-41E6-ABF7-D34A217C1419}" name="Lot_3_Price_10" dataDxfId="445" dataCellStyle="Currency"/>
    <tableColumn id="34" xr3:uid="{C733A581-41CB-4FFB-82F9-9D96AEE5EAA2}" name="Lot_4_Price_1" dataDxfId="444" dataCellStyle="Currency"/>
    <tableColumn id="35" xr3:uid="{11E01DFA-B405-4ACA-B01B-1A8B6ABC2E85}" name="Lot_4_Price_2" dataDxfId="443" dataCellStyle="Currency"/>
    <tableColumn id="36" xr3:uid="{C71F125B-9F26-4C51-B9AA-D676D7216495}" name="Lot_4_Price_3" dataDxfId="442" dataCellStyle="Currency"/>
    <tableColumn id="37" xr3:uid="{C8434751-E53B-403C-A15A-B6A707E38E07}" name="Lot_4_Price_4" dataDxfId="441" dataCellStyle="Currency"/>
    <tableColumn id="38" xr3:uid="{451E3E4C-BFE0-44C4-901E-41C15AA8119E}" name="Lot_4_Price_5" dataDxfId="440" dataCellStyle="Currency"/>
    <tableColumn id="39" xr3:uid="{3336A318-52CC-4B36-AF8D-05ECAADB8B0A}" name="Lot_4_Price_6" dataDxfId="439" dataCellStyle="Currency"/>
    <tableColumn id="40" xr3:uid="{F563F63B-B9FA-4387-A2F9-E9972C8EF07B}" name="Lot_4_Price_7" dataDxfId="438" dataCellStyle="Currency"/>
    <tableColumn id="41" xr3:uid="{7A554A75-E439-4510-A773-9C89ECCC0B26}" name="Lot_4_Price_8" dataDxfId="437" dataCellStyle="Currency"/>
    <tableColumn id="42" xr3:uid="{28DC1281-E58F-4381-9B47-D571A3A9505D}" name="Lot_4_Price_9" dataDxfId="436" dataCellStyle="Currency"/>
    <tableColumn id="43" xr3:uid="{056FFC5C-A83D-4937-BC4B-F7B68CD40F10}" name="Lot_4_Price_10" dataDxfId="435" dataCellStyle="Currency"/>
    <tableColumn id="44" xr3:uid="{6D33A9FE-6DFF-4775-9C1C-504C4FF28B5A}" name="Lot_5_Price_1" dataDxfId="434" dataCellStyle="Currency"/>
    <tableColumn id="45" xr3:uid="{2BFD4EAA-24C8-49AE-9E65-B273D671BFD4}" name="Lot_5_Price_2" dataDxfId="433" dataCellStyle="Currency"/>
    <tableColumn id="46" xr3:uid="{298E05B9-7646-4709-AE5A-CA8263173005}" name="Lot_5_Price_3" dataDxfId="432" dataCellStyle="Currency"/>
    <tableColumn id="47" xr3:uid="{CC9F807C-55AE-4BEF-8204-1248D357BCE5}" name="Lot_5_Price_4" dataDxfId="431" dataCellStyle="Currency"/>
    <tableColumn id="48" xr3:uid="{BF62EC0C-29F3-4D8F-84A4-88D1B491898E}" name="Lot_5_Price_5" dataDxfId="430" dataCellStyle="Currency"/>
    <tableColumn id="49" xr3:uid="{18C04925-846F-4B69-BB82-B7BD71248F05}" name="Lot_5_Price_6" dataDxfId="429" dataCellStyle="Currency"/>
    <tableColumn id="50" xr3:uid="{7869751D-D4C3-4AE8-99C1-B3FEB5C95736}" name="Lot_5_Price_7" dataDxfId="428" dataCellStyle="Currency"/>
    <tableColumn id="51" xr3:uid="{256283D3-DD57-4D76-A124-0E90E3D73427}" name="Lot_5_Price_8" dataDxfId="427" dataCellStyle="Currency"/>
    <tableColumn id="52" xr3:uid="{FDB56E93-23E0-4AB0-9457-AFFB6E294079}" name="Lot_5_Price_9" dataDxfId="426" dataCellStyle="Currency"/>
    <tableColumn id="53" xr3:uid="{9C219FB1-27D2-4A02-A07F-B94E5F075702}" name="Lot_5_Price_10" dataDxfId="425" dataCellStyle="Currency"/>
  </tableColumns>
  <tableStyleInfo name="TableStyleLight9"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6E4C9A5D-C895-4BE3-B66E-93A61E79FD34}" name="TBL_DATA_03_Response" displayName="TBL_DATA_03_Response" ref="A8:F9" totalsRowShown="0" headerRowDxfId="424" dataDxfId="423">
  <autoFilter ref="A8:F9" xr:uid="{6E4C9A5D-C895-4BE3-B66E-93A61E79FD34}"/>
  <tableColumns count="6">
    <tableColumn id="1" xr3:uid="{FC3431CC-35FF-4DF6-B1FE-FC8625A022D9}" name="CCS_All" dataDxfId="422">
      <calculatedColumnFormula>IF(REF_CCS_Q="No", "Both", IFERROR(IF('Part 3_Q6 (Experience Qs)'!$C$21&lt;&gt;"", 'Part 3_Q6 (Experience Qs)'!$C$21, "Both"), "Both"))</calculatedColumnFormula>
    </tableColumn>
    <tableColumn id="2" xr3:uid="{5020C5B0-341B-4B72-8DB9-7D0456DF4054}" name="CCS_Lot_1" dataDxfId="421">
      <calculatedColumnFormula>IF(REF_CCS_Q="No", "Both", IFERROR(IF(#REF!&lt;&gt;"",#REF!, "Both"), "Both"))</calculatedColumnFormula>
    </tableColumn>
    <tableColumn id="8" xr3:uid="{F480C80E-8350-40C5-A4B9-632B02E0C465}" name="CCS_Lot_2" dataDxfId="420">
      <calculatedColumnFormula>IF(REF_CCS_Q="No", "Both", IFERROR(IF(#REF!&lt;&gt;"",#REF!, "Both"), "Both"))</calculatedColumnFormula>
    </tableColumn>
    <tableColumn id="9" xr3:uid="{FA66661D-D987-4212-93C9-E3A12C001E80}" name="CCS_Lot_3" dataDxfId="419">
      <calculatedColumnFormula>IF(REF_CCS_Q="No", "Both", IFERROR(IF(#REF!&lt;&gt;"",#REF!, "Both"), "Both"))</calculatedColumnFormula>
    </tableColumn>
    <tableColumn id="10" xr3:uid="{838787FE-BB25-4A65-9D47-B20F5F5F0B62}" name="CCS_Lot_4" dataDxfId="418">
      <calculatedColumnFormula>IF(REF_CCS_Q="No", "Both", IFERROR(IF(#REF!&lt;&gt;"",#REF!, "Both"), "Both"))</calculatedColumnFormula>
    </tableColumn>
    <tableColumn id="11" xr3:uid="{67A86978-7B22-4E0D-B73B-6113A2D8E811}" name="CCS_Lot_5" dataDxfId="417">
      <calculatedColumnFormula>IF(REF_CCS_Q="No", "Both", IFERROR(IF(#REF!&lt;&gt;"",#REF!, "Both"), "Both"))</calculatedColumnFormula>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E8C4F285-760C-4DBD-A163-39F5626C63DE}" name="TBL_RES_05_PAS_C1" displayName="TBL_RES_05_PAS_C1" ref="A1:AR4" totalsRowShown="0" headerRowDxfId="416" dataDxfId="415">
  <autoFilter ref="A1:AR4" xr:uid="{00000000-0009-0000-0100-00000C000000}"/>
  <tableColumns count="44">
    <tableColumn id="47" xr3:uid="{9909692D-6267-49FE-A371-B822AC54FC22}" name="C1_Complete?" dataDxfId="414">
      <calculatedColumnFormula>#REF!</calculatedColumnFormula>
    </tableColumn>
    <tableColumn id="2" xr3:uid="{2D22B46E-EE32-499C-A0B0-37C465347D45}" name="C1_Q1_Tenderer" dataDxfId="413">
      <calculatedColumnFormula array="1">INDEX(#REF!, MATCH(1, (B3=#REF!)*(B4=#REF!),0))</calculatedColumnFormula>
    </tableColumn>
    <tableColumn id="3" xr3:uid="{AF0A9D61-5290-4531-B807-D86DE99CFA44}" name="C1_Q2_Reg_Address_1" dataDxfId="412">
      <calculatedColumnFormula>IF(#REF!&lt;&gt;"",#REF!, "")</calculatedColumnFormula>
    </tableColumn>
    <tableColumn id="15" xr3:uid="{10A615FB-1B30-4EAA-9043-12827DB597EF}" name="C1_Q2_Reg_Address_2" dataDxfId="411">
      <calculatedColumnFormula>IF(#REF!&lt;&gt;"",#REF!, "")</calculatedColumnFormula>
    </tableColumn>
    <tableColumn id="12" xr3:uid="{43035A0C-40BF-48B8-BEEC-E63616252C09}" name="C1_Q2_Reg_Address_3" dataDxfId="410">
      <calculatedColumnFormula>IF(#REF!&lt;&gt;"",#REF!, "")</calculatedColumnFormula>
    </tableColumn>
    <tableColumn id="10" xr3:uid="{03D014DC-D3AA-4A1B-84ED-95D5E491BADB}" name="C1_Q2_Reg_Address_4" dataDxfId="409">
      <calculatedColumnFormula>IF(#REF!&lt;&gt;"",#REF!, "")</calculatedColumnFormula>
    </tableColumn>
    <tableColumn id="9" xr3:uid="{CF4D20D5-740E-4EC5-A647-57C9F3F9D7C9}" name="C1_Q2_Reg_Address_5" dataDxfId="408">
      <calculatedColumnFormula>IF(#REF!&lt;&gt;"",#REF!, "")</calculatedColumnFormula>
    </tableColumn>
    <tableColumn id="8" xr3:uid="{44656367-FB7C-4174-8856-45D29FBCB22D}" name="C1_Q2_Reg_Address_6" dataDxfId="407">
      <calculatedColumnFormula>IF(#REF!&lt;&gt;"",#REF!, "")</calculatedColumnFormula>
    </tableColumn>
    <tableColumn id="7" xr3:uid="{8073C205-4D57-4026-B01C-A6C0B061C201}" name="C1_Q2_Website" dataDxfId="406">
      <calculatedColumnFormula>IF(#REF!&lt;&gt;"",#REF!, "")</calculatedColumnFormula>
    </tableColumn>
    <tableColumn id="6" xr3:uid="{0318A486-D7F5-4C49-9B36-5A85081284AA}" name="C1_Q3_Title" dataDxfId="405">
      <calculatedColumnFormula>IF(#REF!&lt;&gt;"",#REF!, "")</calculatedColumnFormula>
    </tableColumn>
    <tableColumn id="30" xr3:uid="{2D077B4F-F691-4637-8126-E40CD13C4C38}" name="C1_Q3_Forename" dataDxfId="404">
      <calculatedColumnFormula>IF(#REF!&lt;&gt;"",#REF!, "")</calculatedColumnFormula>
    </tableColumn>
    <tableColumn id="29" xr3:uid="{F388E913-3DB7-4B8B-AF71-3F62436FC87C}" name="C1_Q3_Surname" dataDxfId="403">
      <calculatedColumnFormula>IF(#REF!&lt;&gt;"",#REF!, "")</calculatedColumnFormula>
    </tableColumn>
    <tableColumn id="28" xr3:uid="{EA5A3B94-839E-4C22-A79E-F382ACA01595}" name="C1_Q3_Job" dataDxfId="402">
      <calculatedColumnFormula>IF(#REF!&lt;&gt;"",#REF!, "")</calculatedColumnFormula>
    </tableColumn>
    <tableColumn id="27" xr3:uid="{1F388D6E-0189-4582-AC18-845B18369D25}" name="C1_Q3_email" dataDxfId="401">
      <calculatedColumnFormula>IF(#REF!&lt;&gt;"",#REF!, "")</calculatedColumnFormula>
    </tableColumn>
    <tableColumn id="26" xr3:uid="{6E2999D4-314C-4316-90BA-43E6D48BBA02}" name="C1_Q3_Telephone" dataDxfId="400">
      <calculatedColumnFormula>IF(#REF!&lt;&gt;"",#REF!, "")</calculatedColumnFormula>
    </tableColumn>
    <tableColumn id="25" xr3:uid="{A7408077-652F-41C8-A3E3-66121111E6BF}" name="C1_Q3_Fax" dataDxfId="399">
      <calculatedColumnFormula>IF(#REF!&lt;&gt;"",#REF!, "")</calculatedColumnFormula>
    </tableColumn>
    <tableColumn id="24" xr3:uid="{0D151227-202A-446F-82E6-E54B74B38491}" name="C1_Q3_Address_1" dataDxfId="398">
      <calculatedColumnFormula>IF(#REF!&lt;&gt;"",#REF!, "")</calculatedColumnFormula>
    </tableColumn>
    <tableColumn id="23" xr3:uid="{4EF8B943-AEEF-4991-81C1-9E0C7D54E275}" name="C1_Q3_Address_2" dataDxfId="397">
      <calculatedColumnFormula>IF(#REF!&lt;&gt;"",#REF!, "")</calculatedColumnFormula>
    </tableColumn>
    <tableColumn id="1" xr3:uid="{48BD6479-94E5-4979-A738-8E782B769D66}" name="C1_Q3_Address_3" dataDxfId="396"/>
    <tableColumn id="4" xr3:uid="{D1EFEA58-7FD2-4EEF-A44B-1AB3264FCAA3}" name="C1_Q3_Address_4" dataDxfId="395"/>
    <tableColumn id="5" xr3:uid="{9094AB33-2921-4109-B1D5-BC6708E71A8D}" name="C1_Q3_Address_5" dataDxfId="394"/>
    <tableColumn id="11" xr3:uid="{EEF7B144-55E1-4643-ABED-56DD31B0443D}" name="C1_Q3_Address_6" dataDxfId="393"/>
    <tableColumn id="13" xr3:uid="{6268028E-7F5E-4548-82B5-84BE8969B281}" name="C1_Q4_RegNo." dataDxfId="392"/>
    <tableColumn id="14" xr3:uid="{BBE1EE8D-C214-401D-9EC3-178503294E2E}" name="C1_Q4_RegNo.Other" dataDxfId="391"/>
    <tableColumn id="16" xr3:uid="{6C3796BB-5EBF-46AB-BF3D-E40545469F23}" name="C1_Q5_Charity" dataDxfId="390"/>
    <tableColumn id="17" xr3:uid="{E6A52D33-B176-469E-A53B-524C85DD4B78}" name="C1_Q6_VAT" dataDxfId="389"/>
    <tableColumn id="18" xr3:uid="{3DD3F28C-27F2-4E89-AEAF-43CDE14A0F19}" name="C1_Q7_IPC" dataDxfId="388"/>
    <tableColumn id="19" xr3:uid="{8AB1BBC2-9BCC-4FBD-85F8-9B5B1E248455}" name="C1_Q8_UPC" dataDxfId="387"/>
    <tableColumn id="20" xr3:uid="{BF89DCB7-B9E9-47B2-A5BB-9C0B2FEF8B62}" name="C1_Q9_OrgType" dataDxfId="386"/>
    <tableColumn id="21" xr3:uid="{6EC066EA-E235-4247-8E50-4CFEBC5C4F7D}" name="C1_Q9_OrgDetails" dataDxfId="385"/>
    <tableColumn id="22" xr3:uid="{6CD4D2FB-111C-46C5-A515-E09C5396580F}" name="C1_Q10_SME" dataDxfId="384"/>
    <tableColumn id="31" xr3:uid="{B15FD455-D0E7-4D5F-B366-D4C65EE346D1}" name="C1_Q11_1" dataDxfId="383"/>
    <tableColumn id="32" xr3:uid="{3F63F8E9-47F5-437B-A636-67C1FF179BB2}" name="C1_Q11_2" dataDxfId="382"/>
    <tableColumn id="33" xr3:uid="{1F7F62C7-E451-4CA3-AA85-AA6EF8F63A87}" name="C1_Q11_3" dataDxfId="381"/>
    <tableColumn id="34" xr3:uid="{F2CCDF95-8E32-4FD3-9331-AD8489606BD3}" name="C1_Q12_NonUK_1" dataDxfId="380"/>
    <tableColumn id="35" xr3:uid="{43E3E9DA-26EF-4158-86A2-5DC062E6A61E}" name="C1_Q12_NonUK_2" dataDxfId="379"/>
    <tableColumn id="36" xr3:uid="{889FCE53-D07D-4AD2-B97B-ED875F52A4FE}" name="C1_Q12_NonUK_3" dataDxfId="378"/>
    <tableColumn id="37" xr3:uid="{B12A44E8-9D96-4D3E-9913-7EBCA8AE363E}" name="C1_Q12_NonUK_4" dataDxfId="377"/>
    <tableColumn id="38" xr3:uid="{150B9848-1CFD-4355-883E-8757DD8D8F31}" name="C1_Q12_NonUK_5" dataDxfId="376"/>
    <tableColumn id="39" xr3:uid="{33C0712F-BE38-4FB4-AB9A-8905F07C7EBC}" name="C1_Q12_NonUK_6" dataDxfId="375"/>
    <tableColumn id="40" xr3:uid="{9164D7CA-2EB7-4BB8-869B-628B678C0122}" name="C1_Q13_Model_1" dataDxfId="374"/>
    <tableColumn id="41" xr3:uid="{94B26FB6-66C7-4743-BC8B-64C6CD2BB602}" name="C1_Q13_Model_2" dataDxfId="373"/>
    <tableColumn id="42" xr3:uid="{03F8493D-F55F-4B79-B7BF-92ADBE64BB09}" name="C1_Q13_Model_3" dataDxfId="372"/>
    <tableColumn id="43" xr3:uid="{1124C966-8E90-44C3-A988-7F152446FDA5}" name="C1_Q13_Model_4" dataDxfId="371"/>
  </tableColumns>
  <tableStyleInfo name="TableStyleLight9"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1F6B0E5C-08F9-47AF-922F-2B991442F358}" name="TBL_RES_05_PAS_C2" displayName="TBL_RES_05_PAS_C2" ref="A6:X9" totalsRowShown="0" headerRowDxfId="370" dataDxfId="369">
  <autoFilter ref="A6:X9" xr:uid="{00000000-0009-0000-0100-000008000000}"/>
  <tableColumns count="24">
    <tableColumn id="47" xr3:uid="{F2AD21D0-C53D-4E9B-94CF-5032FE0E5A13}" name="C2_Complete?" dataDxfId="368">
      <calculatedColumnFormula>#REF!</calculatedColumnFormula>
    </tableColumn>
    <tableColumn id="3" xr3:uid="{0362065D-E718-493E-BEEB-BC164344B65F}" name="C2_Q1_1" dataDxfId="367"/>
    <tableColumn id="15" xr3:uid="{60EC6BEE-7051-41DD-9E2E-A24236E785E7}" name="C2_Q1_2" dataDxfId="366"/>
    <tableColumn id="14" xr3:uid="{B55C2F60-675B-41AC-9368-D791FD87CB6A}" name="C2_Q1_3" dataDxfId="365"/>
    <tableColumn id="16" xr3:uid="{498D9C19-B50B-449A-B9BB-3BACA4F46BA2}" name="C2_Q1_4" dataDxfId="364"/>
    <tableColumn id="13" xr3:uid="{1FD2EDC9-23E0-4153-884C-02E4176D6058}" name="C2_Q1_5" dataDxfId="363"/>
    <tableColumn id="12" xr3:uid="{6DB4F118-F656-43EE-8E9A-DE1023031912}" name="C2_Q2_Employers_No" dataDxfId="362"/>
    <tableColumn id="11" xr3:uid="{4787958B-3497-468D-9A8F-882F16D99954}" name="C2_Q2_Employers_Limit" dataDxfId="361"/>
    <tableColumn id="10" xr3:uid="{D0A79EF3-7360-43F3-87EE-5F986E9FB88F}" name="C2_Q2_Employers_Excess" dataDxfId="360"/>
    <tableColumn id="9" xr3:uid="{E0108A3B-8E5D-404F-B9F3-84D364CAE4FD}" name="C2_Q2_Employers_Event" dataDxfId="359"/>
    <tableColumn id="8" xr3:uid="{8D58C478-C9E5-4753-B450-91920869885C}" name="C2_Q2_Employers_Date" dataDxfId="358"/>
    <tableColumn id="1" xr3:uid="{D63BD580-8316-4B02-994E-18FF3FCD83A1}" name="C2_Q2_Third_No" dataDxfId="357"/>
    <tableColumn id="2" xr3:uid="{0F295FE3-AC96-4542-8FCC-E6DEA1EEBC57}" name="C2_Q2_Third_Limit" dataDxfId="356"/>
    <tableColumn id="4" xr3:uid="{38AF9918-8040-4060-A702-7928CEC6CD3E}" name="C2_Q2_Third_Excess" dataDxfId="355"/>
    <tableColumn id="5" xr3:uid="{E169BBD5-3AA3-46CB-930A-2ED3F8578FC9}" name="C2_Q2_Third_Event" dataDxfId="354"/>
    <tableColumn id="6" xr3:uid="{25B458F1-6CAC-4E0D-A87E-85E00737ADED}" name="C2_Q2_Third_Date" dataDxfId="353"/>
    <tableColumn id="7" xr3:uid="{C77A7BA4-153F-4E23-91E8-1AE720F98E56}" name="C2_Q2_PI_No" dataDxfId="352"/>
    <tableColumn id="17" xr3:uid="{EBE35D41-0E31-40E1-A231-993F9E765DFA}" name="C2_Q2_PI_Limit" dataDxfId="351"/>
    <tableColumn id="18" xr3:uid="{8051E7CF-1C17-4A9B-9899-B733BBFD56CA}" name="C2_Q2_PI_Event" dataDxfId="350"/>
    <tableColumn id="19" xr3:uid="{A2057963-332A-4CA9-A026-A5F7CF6C2614}" name="C2_Q2_PI_Date" dataDxfId="349"/>
    <tableColumn id="20" xr3:uid="{F92E3EE5-0822-40FB-AD50-324DE5435E18}" name="C2_Q2_Product_No" dataDxfId="348"/>
    <tableColumn id="21" xr3:uid="{2576158D-B211-47BE-9F22-F2C507B36ABD}" name="C2_Q2_Product_Limit" dataDxfId="347"/>
    <tableColumn id="22" xr3:uid="{E82DE565-6F86-4B65-B54B-35CE4FF20161}" name="C2_Q2_Product_Event" dataDxfId="346"/>
    <tableColumn id="23" xr3:uid="{9C287403-D34E-4765-9284-23708E82169B}" name="C2_Q2_Product_Date" dataDxfId="345"/>
  </tableColumns>
  <tableStyleInfo name="TableStyleLight9"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57B96376-683D-407F-B768-EF3EE448B43B}" name="TBL_RES_05_PAS_C3" displayName="TBL_RES_05_PAS_C3" ref="A11:AG14" totalsRowShown="0" headerRowDxfId="344" dataDxfId="343">
  <autoFilter ref="A11:AG14" xr:uid="{00000000-0009-0000-0100-00000A000000}"/>
  <tableColumns count="33">
    <tableColumn id="47" xr3:uid="{C0CA5ACE-8746-4199-B824-662BB4308D05}" name="C3_Complete?" dataDxfId="342">
      <calculatedColumnFormula>#REF!</calculatedColumnFormula>
    </tableColumn>
    <tableColumn id="3" xr3:uid="{0CA940DA-232E-46AA-B2F0-87A35B7923BA}" name="C3_QP1" dataDxfId="341"/>
    <tableColumn id="15" xr3:uid="{53620089-B9CD-40D9-99D4-62CD927B294F}" name="C3_QP2_1" dataDxfId="340"/>
    <tableColumn id="14" xr3:uid="{C2CCA207-A89B-4412-B6A0-3100C1597C52}" name="C3_QP2_2" dataDxfId="339"/>
    <tableColumn id="16" xr3:uid="{3A9B5B46-953A-44E9-9347-E6F8FBB4F83C}" name="C3_QP2_3" dataDxfId="338"/>
    <tableColumn id="13" xr3:uid="{778B016B-DBF0-4806-9225-33F1F3004E1A}" name="C3_QP2_4" dataDxfId="337"/>
    <tableColumn id="48" xr3:uid="{FC4142BA-237A-4B73-B872-EDA2653D9CD4}" name="C3_QP2_5" dataDxfId="336"/>
    <tableColumn id="12" xr3:uid="{57DE1944-9210-400C-9633-1860E3D518F8}" name="C3_QP2_6" dataDxfId="335"/>
    <tableColumn id="11" xr3:uid="{EEE6C6D4-DDC7-45B2-AD80-08237BE53519}" name="C3_QP2_7" dataDxfId="334"/>
    <tableColumn id="10" xr3:uid="{D1F3C60D-8BD9-41E0-9AF9-07B930284632}" name="C3_QP2_8" dataDxfId="333"/>
    <tableColumn id="9" xr3:uid="{8ECFBBEF-FCF5-43AB-BF23-35A4B6CFBCEF}" name="C3_QP2_9" dataDxfId="332"/>
    <tableColumn id="1" xr3:uid="{DC6719F3-61DA-406F-89C6-1043CF610A55}" name="C3_QP2_10" dataDxfId="331"/>
    <tableColumn id="2" xr3:uid="{3121BA83-B9A8-4C15-8A83-4938B8E5834A}" name="C3_QP3_1" dataDxfId="330"/>
    <tableColumn id="4" xr3:uid="{AFCAAFFF-D327-46BE-83B3-6E85A1669977}" name="C3_QP3_2" dataDxfId="329"/>
    <tableColumn id="5" xr3:uid="{983DA808-424D-45A8-86F2-7D5BD581EA57}" name="C3_QP3_3" dataDxfId="328"/>
    <tableColumn id="6" xr3:uid="{34CA961D-DB8B-4A8A-B8F6-0AD999A58949}" name="C3_QP3_4_a" dataDxfId="327"/>
    <tableColumn id="7" xr3:uid="{71E8BCC5-E8AA-4869-9AAC-510B01BAB83E}" name="C3_QP3_4_b" dataDxfId="326"/>
    <tableColumn id="8" xr3:uid="{EDE45DF7-889A-43E7-BA6A-7E4B992857C2}" name="C3_QP3_4_c" dataDxfId="325"/>
    <tableColumn id="17" xr3:uid="{006A39DE-7642-409C-B8E6-5A12F217136C}" name="C3_QP3_4" dataDxfId="324"/>
    <tableColumn id="18" xr3:uid="{7E01D60A-72A7-48CF-A0D5-81969DF81B0B}" name="C3_QP4_1" dataDxfId="323"/>
    <tableColumn id="19" xr3:uid="{44755257-6DA3-4B0E-9DDE-3DABE985194A}" name="C3_QP4_2" dataDxfId="322"/>
    <tableColumn id="20" xr3:uid="{2C508400-F7FD-4569-816F-C8B0EA165AAD}" name="C3_QP4_3" dataDxfId="321"/>
    <tableColumn id="21" xr3:uid="{0335D5EF-B23E-4A62-BB14-442529EFF404}" name="C3_QP4_4" dataDxfId="320"/>
    <tableColumn id="22" xr3:uid="{875EDE5D-F884-4394-B550-5588CE6D4FA1}" name="C3_QP4_5" dataDxfId="319"/>
    <tableColumn id="23" xr3:uid="{679CE655-3DB3-4B74-865B-AC8EEA40CBF5}" name="C3_QP4_6" dataDxfId="318"/>
    <tableColumn id="24" xr3:uid="{32C6F161-73FE-4A59-A56A-F70EA6A214B1}" name="C3_QP4_7" dataDxfId="317"/>
    <tableColumn id="25" xr3:uid="{A506CD32-88F4-4F9E-BF25-2668A9CC7626}" name="C3_QP4_8" dataDxfId="316"/>
    <tableColumn id="26" xr3:uid="{4881DF3C-56B4-4184-B9E4-FEF87E78A267}" name="C3_QP4_82" dataDxfId="315"/>
    <tableColumn id="27" xr3:uid="{2A240475-2F82-4FF5-B70E-4A580A3277A2}" name="C3_QP4_83" dataDxfId="314"/>
    <tableColumn id="28" xr3:uid="{6B92DC60-EE4D-4C83-AF1D-4E16DE571619}" name="C3_QP4_84" dataDxfId="313"/>
    <tableColumn id="29" xr3:uid="{F4FA4F72-5580-49C3-AE11-86EB958CFE4A}" name="C3_QP4_85" dataDxfId="312"/>
    <tableColumn id="30" xr3:uid="{60823703-5CA5-4483-A445-353B2DA7646C}" name="C3_QP4_86" dataDxfId="311"/>
    <tableColumn id="31" xr3:uid="{EE9281A4-D8D4-44EA-8B84-5CFC56A73437}" name="C3_QP4_9" dataDxfId="310"/>
  </tableColumns>
  <tableStyleInfo name="TableStyleLight9"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5906EA75-FD2B-4383-A841-492A700D0EEB}" name="TBL_RES_05_PAS_C4" displayName="TBL_RES_05_PAS_C4" ref="A26:AN29" totalsRowShown="0" headerRowDxfId="309" dataDxfId="308">
  <autoFilter ref="A26:AN29" xr:uid="{00000000-0009-0000-0100-00000B000000}"/>
  <sortState xmlns:xlrd2="http://schemas.microsoft.com/office/spreadsheetml/2017/richdata2" ref="A27:O29">
    <sortCondition ref="N26:N29"/>
  </sortState>
  <tableColumns count="40">
    <tableColumn id="47" xr3:uid="{98BC01B1-87A2-4360-A201-0585D534FCF6}" name="C4_Complete?" dataDxfId="307">
      <calculatedColumnFormula>#REF!</calculatedColumnFormula>
    </tableColumn>
    <tableColumn id="3" xr3:uid="{2F8E52B1-F3B0-490C-96E2-2689B834BA2B}" name="C4_Q1_1" dataDxfId="306"/>
    <tableColumn id="15" xr3:uid="{B51D8492-4664-48E3-8855-2F40B865E8BF}" name="C4_Q1_2" dataDxfId="305"/>
    <tableColumn id="14" xr3:uid="{6859E0C0-AA16-4D78-8436-3B74089FF6A0}" name="C4_Q1_3" dataDxfId="304"/>
    <tableColumn id="16" xr3:uid="{0F151CE5-FB73-43B8-AC5B-CBEAF113FD87}" name="C4_Q2" dataDxfId="303"/>
    <tableColumn id="13" xr3:uid="{465D48AC-24AA-4E71-9144-E11EBFE8B9A4}" name="C4_Q3" dataDxfId="302"/>
    <tableColumn id="48" xr3:uid="{2B849E69-37D0-49F5-ACD5-1EB477B49B52}" name="C4_Q4" dataDxfId="301"/>
    <tableColumn id="12" xr3:uid="{22DCEF4F-DF81-4818-9CEA-2BD096740F86}" name="C4_Q5" dataDxfId="300"/>
    <tableColumn id="11" xr3:uid="{4B2DB4A2-E5BC-4AAE-9AFE-2087F1A5492E}" name="C4_Q6" dataDxfId="299"/>
    <tableColumn id="10" xr3:uid="{29B87FAB-65D6-4EC7-A4E0-86355B4EA31B}" name="C4_Q7" dataDxfId="298"/>
    <tableColumn id="9" xr3:uid="{3FFA000D-7E60-499A-89EB-2C025937588F}" name="C4_Q8" dataDxfId="297"/>
    <tableColumn id="49" xr3:uid="{81DA4D5E-EF80-4732-901F-3901CD59CAE8}" name="C4_Q9" dataDxfId="296"/>
    <tableColumn id="50" xr3:uid="{FCD27DCD-7D8E-4222-9F00-D3A6ACBB6FF9}" name="C4_Q10" dataDxfId="295"/>
    <tableColumn id="51" xr3:uid="{862673BF-428C-455D-BF28-181D0CA8D53A}" name="C4_Q11" dataDxfId="294"/>
    <tableColumn id="52" xr3:uid="{3425D89D-7179-474F-84F8-90BDE709C425}" name="C4_Q12_1" dataDxfId="293"/>
    <tableColumn id="1" xr3:uid="{81D366C6-3F81-48D4-9520-C4C848CB5618}" name="C4_Q12_2" dataDxfId="292"/>
    <tableColumn id="2" xr3:uid="{5715BA68-09B2-47B9-8D39-2AC2D943CE36}" name="C4_Q12_3" dataDxfId="291"/>
    <tableColumn id="4" xr3:uid="{9E26E406-0203-4F42-AED6-074053A99A3B}" name="C4_Q12_4" dataDxfId="290"/>
    <tableColumn id="5" xr3:uid="{E72D2188-DE07-4612-8B00-A437C354AFEF}" name="C4_Q13" dataDxfId="289"/>
    <tableColumn id="6" xr3:uid="{87CC7271-C95A-4CB9-B411-C007B1A60C96}" name="C4_Q14" dataDxfId="288"/>
    <tableColumn id="7" xr3:uid="{997FEF15-EF65-4BD0-B250-8915533E8CCB}" name="C4_Q15" dataDxfId="287"/>
    <tableColumn id="8" xr3:uid="{590A1A78-6B2A-409F-BA2C-4DB28A66D8EE}" name="C4_Q16" dataDxfId="286"/>
    <tableColumn id="17" xr3:uid="{C0D2F724-811F-4C91-A0AA-4FC9A0F4B51D}" name="C4_Q17_1" dataDxfId="285"/>
    <tableColumn id="18" xr3:uid="{B581E6C4-349E-422E-B505-E0B38399E917}" name="C4_Q17_2" dataDxfId="284"/>
    <tableColumn id="19" xr3:uid="{61F26FC9-FD63-4217-8B35-1B2EB805138A}" name="C4_Q17_3" dataDxfId="283"/>
    <tableColumn id="20" xr3:uid="{AD2FA1C1-08A2-4193-80EE-0C46CEEB3782}" name="C4_Q17_4" dataDxfId="282"/>
    <tableColumn id="21" xr3:uid="{74E2E434-A85D-4C6E-881C-1D2490A45F4E}" name="C4_Q17_5" dataDxfId="281"/>
    <tableColumn id="22" xr3:uid="{AC8ECD21-B330-4705-9AC3-E41E53405538}" name="C4_Q18_1" dataDxfId="280"/>
    <tableColumn id="23" xr3:uid="{C4218668-1C35-4F4A-9BEB-126C2FE135E5}" name="C4_Q18_2" dataDxfId="279"/>
    <tableColumn id="24" xr3:uid="{889429A0-4F31-46CF-81AF-87EE9766C460}" name="C4_Q18_3" dataDxfId="278"/>
    <tableColumn id="25" xr3:uid="{4F85A445-BB1A-46CE-99A5-E7520A1526DA}" name="C4_Q18_4" dataDxfId="277"/>
    <tableColumn id="26" xr3:uid="{2194774C-9E7C-4676-A69A-E30237DB8814}" name="C4_Q19" dataDxfId="276"/>
    <tableColumn id="27" xr3:uid="{68DC06F8-31CA-4F96-85BE-091D42286B56}" name="C4_Q20_1" dataDxfId="275"/>
    <tableColumn id="28" xr3:uid="{E72F42C3-33A4-43B4-A8F1-846F387ED326}" name="C4_Q20_2" dataDxfId="274"/>
    <tableColumn id="29" xr3:uid="{6067DC1E-A0C0-4924-8B99-0D61219C35BC}" name="C4_Q20_3" dataDxfId="273"/>
    <tableColumn id="30" xr3:uid="{A6A288DC-7C2C-47E5-93C6-F851681A47B1}" name="C4_Q20_4" dataDxfId="272"/>
    <tableColumn id="31" xr3:uid="{BF32F62F-3136-4330-810F-D0C2D6EC2707}" name="C4_Q20_5" dataDxfId="271"/>
    <tableColumn id="32" xr3:uid="{10BDE763-3C06-4613-8C3F-30BD9479948F}" name="C4_Q20_6" dataDxfId="270"/>
    <tableColumn id="33" xr3:uid="{100DA45A-7A51-484E-8C1F-8CF0942494A5}" name="C4_Q21" dataDxfId="269"/>
    <tableColumn id="34" xr3:uid="{E1D8C22B-47A0-4CDB-97AC-E6D72FFBDD44}" name="C4_Q22" dataDxfId="268"/>
  </tableColumns>
  <tableStyleInfo name="TableStyleLight9"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4A4E8999-7B05-419F-9706-35CDDAAF7DCA}" name="TBL_RES_05_PAS_O1" displayName="TBL_RES_05_PAS_O1" ref="A31:P34" totalsRowShown="0" headerRowDxfId="267" dataDxfId="266">
  <autoFilter ref="A31:P34" xr:uid="{00000000-0009-0000-0100-00000D000000}"/>
  <tableColumns count="16">
    <tableColumn id="47" xr3:uid="{7904A9E8-8B63-4C56-A7EA-B494212E587B}" name="O1_Complete?" dataDxfId="265">
      <calculatedColumnFormula>#REF!</calculatedColumnFormula>
    </tableColumn>
    <tableColumn id="3" xr3:uid="{70CA6853-B1F5-4F9D-9A7A-E6113BA41676}" name="O1_Q1_1" dataDxfId="264"/>
    <tableColumn id="15" xr3:uid="{639A2C8E-BDB5-44DB-91D3-BA4E0DF2DCD2}" name="O1_Q1_2" dataDxfId="263"/>
    <tableColumn id="14" xr3:uid="{9801FBB3-F69E-4638-A3C3-E749B511FD99}" name="O1_Q1_3" dataDxfId="262"/>
    <tableColumn id="16" xr3:uid="{4A0FFB62-71A9-4D0A-A043-1E0313AB1820}" name="O1_Q1_4" dataDxfId="261"/>
    <tableColumn id="13" xr3:uid="{CE82CE6E-BFB8-4C97-92B7-ECA07ACA0581}" name="O1_Q2" dataDxfId="260"/>
    <tableColumn id="48" xr3:uid="{DDE2CA2E-3E71-40BE-8045-8AF35F2F65E2}" name="O1_Q3" dataDxfId="259"/>
    <tableColumn id="1" xr3:uid="{9146BCCD-44CB-4280-B4ED-50F7071D73EC}" name="O1_Q4" dataDxfId="258"/>
    <tableColumn id="2" xr3:uid="{5C0709CA-2B1B-43E3-B411-E4892E8CAA94}" name="O1_Q5" dataDxfId="257"/>
    <tableColumn id="4" xr3:uid="{E2D97519-F4B1-4C73-9084-CA5B2F7B9381}" name="O1_Q6" dataDxfId="256"/>
    <tableColumn id="5" xr3:uid="{083E23A3-5AC0-45DF-8FC9-7298DC6F819D}" name="O1_Q7" dataDxfId="255"/>
    <tableColumn id="6" xr3:uid="{E242F705-0C3B-488A-AFC3-5BE64E26796F}" name="O1_Q8" dataDxfId="254"/>
    <tableColumn id="7" xr3:uid="{0F25B79D-7CD1-40F6-927D-2AED48DA1E73}" name="O1_Q9" dataDxfId="253"/>
    <tableColumn id="8" xr3:uid="{049837EC-B959-48BC-8E98-D7891E538831}" name="O1_Q10_1" dataDxfId="252"/>
    <tableColumn id="9" xr3:uid="{1A305CDD-B55B-44F2-956E-61F952356A61}" name="O1_Q10_2" dataDxfId="251"/>
    <tableColumn id="10" xr3:uid="{1BF91700-1DC8-4FC7-94E7-416DA7CD7E87}" name="O1_Q10_3" dataDxfId="250"/>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BL_DATA_00_Doc_Merge" displayName="TBL_DATA_00_Doc_Merge" ref="A1:HO7" totalsRowShown="0" headerRowDxfId="1314" dataDxfId="1312" headerRowBorderDxfId="1313" tableBorderDxfId="1311" totalsRowBorderDxfId="1310">
  <autoFilter ref="A1:HO7" xr:uid="{00000000-0009-0000-0100-000003000000}"/>
  <tableColumns count="223">
    <tableColumn id="14" xr3:uid="{6B7222A9-0807-466C-AD96-34EBA3446869}" name="Lot" dataDxfId="1309"/>
    <tableColumn id="78" xr3:uid="{DC2ED13F-3CC1-4856-807E-5054D557A3F7}" name="Lot_Ref" dataDxfId="1308"/>
    <tableColumn id="51" xr3:uid="{00000000-0010-0000-0200-000033000000}" name="Job_No" dataDxfId="1307">
      <calculatedColumnFormula>'Project Info'!$K$5</calculatedColumnFormula>
    </tableColumn>
    <tableColumn id="1" xr3:uid="{00000000-0010-0000-0200-000001000000}" name="Client_Name" dataDxfId="1306">
      <calculatedColumnFormula>'Project Info'!$K$9</calculatedColumnFormula>
    </tableColumn>
    <tableColumn id="2" xr3:uid="{00000000-0010-0000-0200-000002000000}" name="Client" dataDxfId="1305">
      <calculatedColumnFormula>'Project Info'!$K$10</calculatedColumnFormula>
    </tableColumn>
    <tableColumn id="3" xr3:uid="{00000000-0010-0000-0200-000003000000}" name="Project_Title" dataDxfId="1304">
      <calculatedColumnFormula>'Project Info'!$K$7</calculatedColumnFormula>
    </tableColumn>
    <tableColumn id="96" xr3:uid="{00000000-0010-0000-0200-000060000000}" name="Description" dataDxfId="1303">
      <calculatedColumnFormula>'Project Info'!$K$8</calculatedColumnFormula>
    </tableColumn>
    <tableColumn id="4" xr3:uid="{00000000-0010-0000-0200-000004000000}" name="Registered_address" dataDxfId="1302">
      <calculatedColumnFormula>'Project Info'!$K$11</calculatedColumnFormula>
    </tableColumn>
    <tableColumn id="5" xr3:uid="{00000000-0010-0000-0200-000005000000}" name="Contract_area" dataDxfId="1301">
      <calculatedColumnFormula>'Project Info'!$K$12</calculatedColumnFormula>
    </tableColumn>
    <tableColumn id="57" xr3:uid="{00000000-0010-0000-0200-000039000000}" name="Owner" dataDxfId="1300">
      <calculatedColumnFormula>'Project Info'!$L$6</calculatedColumnFormula>
    </tableColumn>
    <tableColumn id="56" xr3:uid="{00000000-0010-0000-0200-000038000000}" name="DOC_Author" dataDxfId="1299">
      <calculatedColumnFormula array="1">IF(INDEX(TBL_ADD_02_Project_Info[Response], MATCH(1, ("Author"=TBL_ADD_02_Project_Info[Ref])*("All"=TBL_ADD_02_Project_Info[Lot]), 0))&lt;&gt;"", INDEX(TBL_ADD_02_Project_Info[Response], MATCH(1, ("Author"=TBL_ADD_02_Project_Info[Ref])*("All"=TBL_ADD_02_Project_Info[Lot]), 0)), "Add on Eval Info")</calculatedColumnFormula>
    </tableColumn>
    <tableColumn id="180" xr3:uid="{166C7C7A-DC5C-4841-BAB2-8EA50618E42E}" name="DOC_Office" dataDxfId="1298">
      <calculatedColumnFormula array="1">IF(INDEX(TBL_ADD_02_Project_Info[Response], MATCH(1, ("Office"=TBL_ADD_02_Project_Info[Ref])*("All"=TBL_ADD_02_Project_Info[Lot]), 0))&lt;&gt;"", INDEX(TBL_ADD_02_Project_Info[Response], MATCH(1, ("Office"=TBL_ADD_02_Project_Info[Ref])*("All"=TBL_ADD_02_Project_Info[Lot]), 0)), "Add on Eval Info")</calculatedColumnFormula>
    </tableColumn>
    <tableColumn id="166" xr3:uid="{C0492600-4C31-4B6D-B227-05DFED817A4B}" name="DOC_Address" dataDxfId="1297">
      <calculatedColumnFormula>IF(TBL_DATA_00_Doc_Merge[[#This Row],[DOC_Office]]="Add on Eval Info", "Add on Eval Info", VLOOKUP(TBL_DATA_00_Doc_Merge[[#This Row],[DOC_Office]], TBL_REF_04_Offices[], 2, FALSE))</calculatedColumnFormula>
    </tableColumn>
    <tableColumn id="141" xr3:uid="{69059791-A510-49D3-B4B3-AC2A4954B02E}" name="DOC_No" dataDxfId="1296">
      <calculatedColumnFormula>IF(TBL_DATA_00_Doc_Merge[[#This Row],[DOC_Office]]="Add on Eval Info", "Add on Eval Info", VLOOKUP(TBL_DATA_00_Doc_Merge[[#This Row],[DOC_Office]], TBL_REF_04_Offices[], 3, FALSE))</calculatedColumnFormula>
    </tableColumn>
    <tableColumn id="182" xr3:uid="{FF961B9B-B46F-4779-8719-AF4B85416930}" name="Doc_Date" dataDxfId="1295">
      <calculatedColumnFormula>IF(TBL_DATA_00_Doc_Merge[[#This Row],[Tender_Type]]="Final Tender", TEXT(Dates!$E$33, "d, MMMM, YYYY"), IF(OR( TBL_DATA_00_Doc_Merge[[#This Row],[Tender_Type]]="Initial Tender", TBL_DATA_00_Doc_Merge[[#This Row],[Tender_Type]]="Tender"), IF('Project Info'!$K$29="Draft", TEXT(Dates!$E$5, "d, MMMM, YYYY"), TEXT(Dates!$E$14, "d, MMMM, YYYY")), IF(TBL_DATA_00_Doc_Merge[[#This Row],[Procedure]]="Open Procedure", TEXT(Dates!$E$14, "d, MMMM, YYYY"), TEXT(Dates!$E$5, "d, MMMM, YYYY"))))</calculatedColumnFormula>
    </tableColumn>
    <tableColumn id="106" xr3:uid="{00000000-0010-0000-0200-00006A000000}" name="Procedure" dataDxfId="1294">
      <calculatedColumnFormula>'Project Info'!$E$14</calculatedColumnFormula>
    </tableColumn>
    <tableColumn id="168" xr3:uid="{3904FD3B-D437-4CF0-A99E-B6B84B2B3238}" name="Threshold" dataDxfId="1293">
      <calculatedColumnFormula>IF(OR('Project Info'!$E$16="Greater than £4.5M", 'Project Info'!$E$16="Greater than £181K"), "Above", "Below")</calculatedColumnFormula>
    </tableColumn>
    <tableColumn id="41" xr3:uid="{9C37B40B-938B-479A-9B86-A4805A0C48E8}" name="Doc_Type" dataDxfId="1292">
      <calculatedColumnFormula>IF('Project Info'!$E$14="Open Procedure", "Open", IF('Project Info'!$E$28="SQ", "Selection", "Tender"))</calculatedColumnFormula>
    </tableColumn>
    <tableColumn id="45" xr3:uid="{E4DCC5F4-C818-459B-A392-8D49D0BEECF2}" name="Tender_Type" dataDxfId="1291">
      <calculatedColumnFormula>'Project Info'!$E$28</calculatedColumnFormula>
    </tableColumn>
    <tableColumn id="44" xr3:uid="{D2748901-9175-4368-BF22-019CD255E559}" name="Stage" dataDxfId="1290">
      <calculatedColumnFormula>IF(TBL_DATA_00_Doc_Merge[[#This Row],[Doc_Type]]="Selection", $HQ$2, IF(TBL_DATA_00_Doc_Merge[[#This Row],[Doc_Type]]="Open", $HQ$2&amp;" and Tender", IF(TBL_DATA_00_Doc_Merge[[#This Row],[Tender_Type]]="Initial", $HQ$4&amp;"n Initial Tender", IF(TBL_DATA_00_Doc_Merge[[#This Row],[Tender_Type]]="Final", $HQ$4&amp;"Final Tender", $HQ$3))))</calculatedColumnFormula>
    </tableColumn>
    <tableColumn id="42" xr3:uid="{C74083BF-FE30-4C02-B2B0-2F54BD7791EA}" name="Abb_Stage" dataDxfId="1289">
      <calculatedColumnFormula>IF(TBL_DATA_00_Doc_Merge[[#This Row],[Doc_Type]]="Selection", TBL_DATA_00_Doc_Merge[[#This Row],[PAS_or_SQ]], IF(TBL_DATA_00_Doc_Merge[[#This Row],[Doc_Type]]="Open", "Tender", IF(TBL_DATA_00_Doc_Merge[[#This Row],[Tender_Type]]="Initial", "ISIT", IF(TBL_DATA_00_Doc_Merge[[#This Row],[Tender_Type]]="Final", "ISFT", "ITT"))))</calculatedColumnFormula>
    </tableColumn>
    <tableColumn id="128" xr3:uid="{D58808AC-E812-4CA7-ADD9-21031E8B7B30}" name="PAS_or_SQ" dataDxfId="1288">
      <calculatedColumnFormula>'Project Info'!$E$18</calculatedColumnFormula>
    </tableColumn>
    <tableColumn id="188" xr3:uid="{BAFD10CC-2828-4680-84C0-0353DEC09E9A}" name="Alternative" dataDxfId="1287">
      <calculatedColumnFormula>'Project Info'!$K$19</calculatedColumnFormula>
    </tableColumn>
    <tableColumn id="7" xr3:uid="{00000000-0010-0000-0200-000007000000}" name="works_service_supplies" dataDxfId="1286">
      <calculatedColumnFormula>'Project Info'!$E$15</calculatedColumnFormula>
    </tableColumn>
    <tableColumn id="8" xr3:uid="{00000000-0010-0000-0200-000008000000}" name="contract_or_fw" dataDxfId="1285">
      <calculatedColumnFormula>'Project Info'!$E$37</calculatedColumnFormula>
    </tableColumn>
    <tableColumn id="9" xr3:uid="{00000000-0010-0000-0200-000009000000}" name="Lotted" dataDxfId="1284">
      <calculatedColumnFormula>REF_Lotted</calculatedColumnFormula>
    </tableColumn>
    <tableColumn id="135" xr3:uid="{4B620A53-2199-4A89-BD3D-C9F88418E739}" name="No_of_Lots" dataDxfId="1283">
      <calculatedColumnFormula>REF_No_Lots</calculatedColumnFormula>
    </tableColumn>
    <tableColumn id="10" xr3:uid="{00000000-0010-0000-0200-00000A000000}" name="No_of_Lots_Words" dataDxfId="1282">
      <calculatedColumnFormula>VLOOKUP(TBL_DATA_00_Doc_Merge[[#This Row],[No_of_Lots]], TBL_REF_01_Number[], 2, FALSE)&amp;IF(TBL_DATA_00_Doc_Merge[[#This Row],[No_of_Lots]]=1, " Lot", " Lots")</calculatedColumnFormula>
    </tableColumn>
    <tableColumn id="129" xr3:uid="{DC2E0150-2FBB-4059-B0E7-07D08C3AA126}" name="Terminology" dataDxfId="1281">
      <calculatedColumnFormula>IF('Project Info'!$E$38="Partnering", IF(OR('Project Info'!$E$39=$HS$2, 'Project Info'!$E$39=$HS$3), "TAC", "TPC"), 'Project Info'!$E$38)</calculatedColumnFormula>
    </tableColumn>
    <tableColumn id="49" xr3:uid="{00000000-0010-0000-0200-000031000000}" name="SP_or_Contractor" dataDxfId="1280">
      <calculatedColumnFormula>'Project Info'!$E$40</calculatedColumnFormula>
    </tableColumn>
    <tableColumn id="130" xr3:uid="{5CFFA4BA-B1D5-42AA-878C-1158F226AD95}" name="Fin_Check" dataDxfId="1279" dataCellStyle="Currency">
      <calculatedColumnFormula>REF_Fin_Check</calculatedColumnFormula>
    </tableColumn>
    <tableColumn id="103" xr3:uid="{00000000-0010-0000-0200-000067000000}" name="Advertised" dataDxfId="1278" dataCellStyle="Currency">
      <calculatedColumnFormula>IF('Project Info'!$E$17="Yes", "Yes", "No")</calculatedColumnFormula>
    </tableColumn>
    <tableColumn id="43" xr3:uid="{1B1114CB-ADFA-4DC8-A148-0D2A9F92EE97}" name="Notice_ref" dataDxfId="1277" dataCellStyle="Currency">
      <calculatedColumnFormula>IF('Project Info'!$K$30&lt;&gt;"", 'Project Info'!$K$30, "")</calculatedColumnFormula>
    </tableColumn>
    <tableColumn id="131" xr3:uid="{6DA1C805-6AE9-498F-B8C3-2D2C0C6BBE9D}" name="Portal" dataDxfId="1276" dataCellStyle="Currency">
      <calculatedColumnFormula>IF($HT$2='Project Info'!$E$20, 'Project Info'!$F$20, 'Project Info'!$E$20)</calculatedColumnFormula>
    </tableColumn>
    <tableColumn id="46" xr3:uid="{2F39E712-E5FA-4DAF-939C-B1B6DBC4B2F2}" name="Notice_published" dataDxfId="1275" dataCellStyle="Currency">
      <calculatedColumnFormula>IF(TBL_DATA_00_Doc_Merge[[#This Row],[Doc_Type]]="Open", TEXT(Dates!$E$14, "d MMMM YYYY"), TEXT(Dates!$E$5, "d MMMM YYYY"))</calculatedColumnFormula>
    </tableColumn>
    <tableColumn id="19" xr3:uid="{607F0899-693E-4950-A90F-0214D60CD14B}" name="Lot_1_Name" dataDxfId="1274" dataCellStyle="Currency">
      <calculatedColumnFormula array="1">IFERROR(INDEX(TBL_DATA_01_Lot_Info[Name], MATCH(1, (TBL_DATA_00_Doc_Merge[[#This Row],[Lot]]=TBL_DATA_01_Lot_Info[Lot])*("Yes"=TBL_DATA_01_Lot_Info[Include?]), 0)), "N/A")</calculatedColumnFormula>
    </tableColumn>
    <tableColumn id="73" xr3:uid="{3E30E0AC-CF23-45BB-B42B-8A888477D731}" name="Lot_1_Description" dataDxfId="1273" dataCellStyle="Currency">
      <calculatedColumnFormula array="1">IFERROR(INDEX(TBL_DATA_01_Lot_Info[Description], MATCH(1, (TBL_DATA_00_Doc_Merge[[#This Row],[Lot]]=TBL_DATA_01_Lot_Info[Lot])*("Yes"=TBL_DATA_01_Lot_Info[Include?]), 0)), "N/A")</calculatedColumnFormula>
    </tableColumn>
    <tableColumn id="75" xr3:uid="{F9A5B616-2651-45DB-89D0-25D6ACA44251}" name="Lot_1_Approx" dataDxfId="1272" dataCellStyle="Currency">
      <calculatedColumnFormula array="1">IFERROR(INDEX(TBL_DATA_01_Lot_Info[Props_Approx], MATCH(1, (TBL_DATA_00_Doc_Merge[[#This Row],[Lot]]=TBL_DATA_01_Lot_Info[Lot])*("Yes"=TBL_DATA_01_Lot_Info[Include?]), 0)), "N/A")</calculatedColumnFormula>
    </tableColumn>
    <tableColumn id="74" xr3:uid="{18FDEE0F-E4E2-46DE-B6E6-A82C1B8FD97C}" name="Lot_1_Props" dataDxfId="1271" dataCellStyle="Currency">
      <calculatedColumnFormula array="1">IFERROR(INDEX(TBL_DATA_01_Lot_Info[Props_No], MATCH(1, (TBL_DATA_00_Doc_Merge[[#This Row],[Lot]]=TBL_DATA_01_Lot_Info[Lot])*("Yes"=TBL_DATA_01_Lot_Info[Include?]), 0)), "N/A")</calculatedColumnFormula>
    </tableColumn>
    <tableColumn id="220" xr3:uid="{2B9F0E33-E69A-46B6-A5A3-ED04B2F9CF08}" name="Lot_1_Type" dataDxfId="1270" dataCellStyle="Currency">
      <calculatedColumnFormula array="1">IFERROR(INDEX(TBL_DATA_01_Lot_Info[Props_Type], MATCH(1, (TBL_DATA_00_Doc_Merge[[#This Row],[Lot]]=TBL_DATA_01_Lot_Info[Lot])*("Yes"=TBL_DATA_01_Lot_Info[Include?]), 0)), "N/A")</calculatedColumnFormula>
    </tableColumn>
    <tableColumn id="76" xr3:uid="{69AA19A4-4A9C-4724-B11E-65757E8D7BA7}" name="Lot_1_Value_type" dataDxfId="1269" dataCellStyle="Currency">
      <calculatedColumnFormula array="1">IFERROR(INDEX(TBL_DATA_01_Lot_Info[Value_type], MATCH(1, (TBL_DATA_00_Doc_Merge[[#This Row],[Lot]]=TBL_DATA_01_Lot_Info[Lot])*("Yes"=TBL_DATA_01_Lot_Info[Include?]), 0)), "N/A")</calculatedColumnFormula>
    </tableColumn>
    <tableColumn id="77" xr3:uid="{876B93E4-7361-4B91-A5F8-3464AB9BDCDA}" name="Lot_1_Value_Max" dataDxfId="1268" dataCellStyle="Currency">
      <calculatedColumnFormula array="1">IFERROR(INDEX(TBL_DATA_01_Lot_Info[Value_Max], MATCH(1, (TBL_DATA_00_Doc_Merge[[#This Row],[Lot]]=TBL_DATA_01_Lot_Info[Lot])*("Yes"=TBL_DATA_01_Lot_Info[Include?]), 0)), "N/A")</calculatedColumnFormula>
    </tableColumn>
    <tableColumn id="80" xr3:uid="{78ABCE5A-6F5D-49A8-8F7C-4FF54A17CDC3}" name="Lot_1_Value_Min" dataDxfId="1267" dataCellStyle="Currency">
      <calculatedColumnFormula array="1">IFERROR(INDEX(TBL_DATA_01_Lot_Info[Value_Min], MATCH(1, (TBL_DATA_00_Doc_Merge[[#This Row],[Lot]]=TBL_DATA_01_Lot_Info[Lot])*("Yes"=TBL_DATA_01_Lot_Info[Include?]), 0)), "N/A")</calculatedColumnFormula>
    </tableColumn>
    <tableColumn id="195" xr3:uid="{B3BCDF84-A913-4E6B-8EE0-37CC751A079A}" name="Lot_1_ITT_Min" dataDxfId="1266" dataCellStyle="Currency">
      <calculatedColumnFormula array="1">IFERROR(IF(INDEX(TBL_DATA_01_Lot_Info[ITT_Min], MATCH(1, (TBL_DATA_00_Doc_Merge[[#This Row],[Lot]]=TBL_DATA_01_Lot_Info[Lot])*("Yes"=TBL_DATA_01_Lot_Info[Include?]), 0))&lt;=10, VLOOKUP(INDEX(TBL_DATA_01_Lot_Info[ITT_Min], MATCH(1, (TBL_DATA_00_Doc_Merge[[#This Row],[Lot]]=TBL_DATA_01_Lot_Info[Lot])*("Yes"=TBL_DATA_01_Lot_Info[Include?]), 0)), TBL_REF_01_Number[], 2, FALSE), INDEX(TBL_DATA_01_Lot_Info[ITT_Min], MATCH(1, (TBL_DATA_00_Doc_Merge[[#This Row],[Lot]]=TBL_DATA_01_Lot_Info[Lot])*("Yes"=TBL_DATA_01_Lot_Info[Include?]), 0))), "N/A")</calculatedColumnFormula>
    </tableColumn>
    <tableColumn id="194" xr3:uid="{B2E6EBEC-9119-4C79-8788-1A4205A33F03}" name="Lot_1_ITT_Max" dataDxfId="1265" dataCellStyle="Currency">
      <calculatedColumnFormula array="1">IFERROR(IF(INDEX(TBL_DATA_01_Lot_Info[ITT_Max], MATCH(1, (TBL_DATA_00_Doc_Merge[[#This Row],[Lot]]=TBL_DATA_01_Lot_Info[Lot])*("Yes"=TBL_DATA_01_Lot_Info[Include?]), 0))&lt;=10, VLOOKUP(INDEX(TBL_DATA_01_Lot_Info[ITT_Max], MATCH(1, (TBL_DATA_00_Doc_Merge[[#This Row],[Lot]]=TBL_DATA_01_Lot_Info[Lot])*("Yes"=TBL_DATA_01_Lot_Info[Include?]), 0)), TBL_REF_01_Number[], 2, FALSE), INDEX(TBL_DATA_01_Lot_Info[ITT_Max], MATCH(1, (TBL_DATA_00_Doc_Merge[[#This Row],[Lot]]=TBL_DATA_01_Lot_Info[Lot])*("Yes"=TBL_DATA_01_Lot_Info[Include?]), 0))), "N/A")</calculatedColumnFormula>
    </tableColumn>
    <tableColumn id="193" xr3:uid="{B87A7F98-11C4-4407-9D22-1445203CA25E}" name="Lot_1_Neg_Min" dataDxfId="1264" dataCellStyle="Currency">
      <calculatedColumnFormula array="1">IFERROR(IF(INDEX(TBL_DATA_01_Lot_Info[Neg_Min], MATCH(1, (TBL_DATA_00_Doc_Merge[[#This Row],[Lot]]=TBL_DATA_01_Lot_Info[Lot])*("Yes"=TBL_DATA_01_Lot_Info[Include?]), 0))&lt;=10, VLOOKUP(INDEX(TBL_DATA_01_Lot_Info[Neg_Min], MATCH(1, (TBL_DATA_00_Doc_Merge[[#This Row],[Lot]]=TBL_DATA_01_Lot_Info[Lot])*("Yes"=TBL_DATA_01_Lot_Info[Include?]), 0)), TBL_REF_01_Number[], 2, FALSE), INDEX(TBL_DATA_01_Lot_Info[Neg_Min], MATCH(1, (TBL_DATA_00_Doc_Merge[[#This Row],[Lot]]=TBL_DATA_01_Lot_Info[Lot])*("Yes"=TBL_DATA_01_Lot_Info[Include?]), 0))), "N/A")</calculatedColumnFormula>
    </tableColumn>
    <tableColumn id="192" xr3:uid="{370C9A44-091E-4B5C-8930-5C7C8AA78B50}" name="Lot_1_Neg_Max" dataDxfId="1263" dataCellStyle="Currency">
      <calculatedColumnFormula array="1">IFERROR(IF(INDEX(TBL_DATA_01_Lot_Info[Neg_Max], MATCH(1, (TBL_DATA_00_Doc_Merge[[#This Row],[Lot]]=TBL_DATA_01_Lot_Info[Lot])*("Yes"=TBL_DATA_01_Lot_Info[Include?]), 0))&lt;=10, VLOOKUP(INDEX(TBL_DATA_01_Lot_Info[Neg_Max], MATCH(1, (TBL_DATA_00_Doc_Merge[[#This Row],[Lot]]=TBL_DATA_01_Lot_Info[Lot])*("Yes"=TBL_DATA_01_Lot_Info[Include?]), 0)), TBL_REF_01_Number[], 2, FALSE), INDEX(TBL_DATA_01_Lot_Info[Neg_Max], MATCH(1, (TBL_DATA_00_Doc_Merge[[#This Row],[Lot]]=TBL_DATA_01_Lot_Info[Lot])*("Yes"=TBL_DATA_01_Lot_Info[Include?]), 0))), "N/A")</calculatedColumnFormula>
    </tableColumn>
    <tableColumn id="191" xr3:uid="{E63CAFF4-3C3D-4107-A1F0-44117C720D5B}" name="Lot_1_ISFT_Min" dataDxfId="1262" dataCellStyle="Currency">
      <calculatedColumnFormula array="1">IFERROR(IF(INDEX(TBL_DATA_01_Lot_Info[ISFT_Min], MATCH(1, (TBL_DATA_00_Doc_Merge[[#This Row],[Lot]]=TBL_DATA_01_Lot_Info[Lot])*("Yes"=TBL_DATA_01_Lot_Info[Include?]), 0))&lt;=10, VLOOKUP(INDEX(TBL_DATA_01_Lot_Info[ISFT_Min], MATCH(1, (TBL_DATA_00_Doc_Merge[[#This Row],[Lot]]=TBL_DATA_01_Lot_Info[Lot])*("Yes"=TBL_DATA_01_Lot_Info[Include?]), 0)), TBL_REF_01_Number[], 2, FALSE), INDEX(TBL_DATA_01_Lot_Info[ISFT_Min], MATCH(1, (TBL_DATA_00_Doc_Merge[[#This Row],[Lot]]=TBL_DATA_01_Lot_Info[Lot])*("Yes"=TBL_DATA_01_Lot_Info[Include?]), 0))), "N/A")</calculatedColumnFormula>
    </tableColumn>
    <tableColumn id="190" xr3:uid="{51C23193-21A0-4222-B07F-23784E9A2455}" name="Lot_1_ISFT_Max" dataDxfId="1261" dataCellStyle="Currency">
      <calculatedColumnFormula array="1">IFERROR(IF(INDEX(TBL_DATA_01_Lot_Info[ISFT_Max], MATCH(1, (TBL_DATA_00_Doc_Merge[[#This Row],[Lot]]=TBL_DATA_01_Lot_Info[Lot])*("Yes"=TBL_DATA_01_Lot_Info[Include?]), 0))&lt;=10, VLOOKUP(INDEX(TBL_DATA_01_Lot_Info[ISFT_Max], MATCH(1, (TBL_DATA_00_Doc_Merge[[#This Row],[Lot]]=TBL_DATA_01_Lot_Info[Lot])*("Yes"=TBL_DATA_01_Lot_Info[Include?]), 0)), TBL_REF_01_Number[], 2, FALSE), INDEX(TBL_DATA_01_Lot_Info[ISFT_Max], MATCH(1, (TBL_DATA_00_Doc_Merge[[#This Row],[Lot]]=TBL_DATA_01_Lot_Info[Lot])*("Yes"=TBL_DATA_01_Lot_Info[Include?]), 0))), "N/A")</calculatedColumnFormula>
    </tableColumn>
    <tableColumn id="81" xr3:uid="{2CFDDAC8-3EC4-4BAD-B00D-A25DBD5D36B7}" name="Lot_1_Cons_Min" dataDxfId="1260" dataCellStyle="Currency">
      <calculatedColumnFormula array="1">IFERROR(IF(INDEX(TBL_DATA_01_Lot_Info[Cons_Min], MATCH(1, (TBL_DATA_00_Doc_Merge[[#This Row],[Lot]]=TBL_DATA_01_Lot_Info[Lot])*("Yes"=TBL_DATA_01_Lot_Info[Include?]), 0))&lt;=10, VLOOKUP(INDEX(TBL_DATA_01_Lot_Info[Cons_Min], MATCH(1, (TBL_DATA_00_Doc_Merge[[#This Row],[Lot]]=TBL_DATA_01_Lot_Info[Lot])*("Yes"=TBL_DATA_01_Lot_Info[Include?]), 0)), TBL_REF_01_Number[], 2, FALSE), INDEX(TBL_DATA_01_Lot_Info[Cons_Min], MATCH(1, (TBL_DATA_00_Doc_Merge[[#This Row],[Lot]]=TBL_DATA_01_Lot_Info[Lot])*("Yes"=TBL_DATA_01_Lot_Info[Include?]), 0))), "N/A")</calculatedColumnFormula>
    </tableColumn>
    <tableColumn id="82" xr3:uid="{03661E20-333B-493B-8B21-F76DA62DC271}" name="Lot_1_Cons_Max" dataDxfId="1259" dataCellStyle="Currency">
      <calculatedColumnFormula array="1">IFERROR(IF(INDEX(TBL_DATA_01_Lot_Info[Cons_Max], MATCH(1, (TBL_DATA_00_Doc_Merge[[#This Row],[Lot]]=TBL_DATA_01_Lot_Info[Lot])*("Yes"=TBL_DATA_01_Lot_Info[Include?]), 0))&lt;=10, VLOOKUP(INDEX(TBL_DATA_01_Lot_Info[Cons_Max], MATCH(1, (TBL_DATA_00_Doc_Merge[[#This Row],[Lot]]=TBL_DATA_01_Lot_Info[Lot])*("Yes"=TBL_DATA_01_Lot_Info[Include?]), 0)), TBL_REF_01_Number[], 2, FALSE), INDEX(TBL_DATA_01_Lot_Info[Cons_Max], MATCH(1, (TBL_DATA_00_Doc_Merge[[#This Row],[Lot]]=TBL_DATA_01_Lot_Info[Lot])*("Yes"=TBL_DATA_01_Lot_Info[Include?]), 0))), "N/A")</calculatedColumnFormula>
    </tableColumn>
    <tableColumn id="83" xr3:uid="{22E2093C-65E5-4B98-96D6-FAF511EDBBD1}" name="Lot_2_Name" dataDxfId="1258" dataCellStyle="Currency"/>
    <tableColumn id="84" xr3:uid="{0C77A68E-B2D0-4E0C-A18C-396FF94949B0}" name="Lot_2_Description" dataDxfId="1257" dataCellStyle="Currency"/>
    <tableColumn id="86" xr3:uid="{504C40DD-AB1A-49BC-8B15-CB4B69FBD865}" name="Lot_2_Approx" dataDxfId="1256" dataCellStyle="Currency"/>
    <tableColumn id="85" xr3:uid="{2BE6E4FB-67A7-4A0B-AE3E-1B2211E350D3}" name="Lot_2_Props" dataDxfId="1255" dataCellStyle="Currency"/>
    <tableColumn id="221" xr3:uid="{346AEAE9-DA58-4EA1-8BE3-03AC8AA0F43A}" name="Lot_2_Type" dataDxfId="1254" dataCellStyle="Currency"/>
    <tableColumn id="87" xr3:uid="{53CAB791-65C6-4603-A425-06A7D886FF73}" name="Lot_2_Value_type" dataDxfId="1253" dataCellStyle="Currency"/>
    <tableColumn id="88" xr3:uid="{9EF4D303-E428-4100-9D38-1CEB7FBA5090}" name="Lot_2_Value_Max" dataDxfId="1252" dataCellStyle="Currency"/>
    <tableColumn id="89" xr3:uid="{CBD45008-0095-4615-88B4-EA13509767EA}" name="Lot_2_Value_Min" dataDxfId="1251" dataCellStyle="Currency"/>
    <tableColumn id="201" xr3:uid="{219DD744-205C-4099-8D7B-D2B63967B8E5}" name="Lot_2_ITT_Min" dataDxfId="1250" dataCellStyle="Currency"/>
    <tableColumn id="200" xr3:uid="{64D38FA2-C825-49F2-B3F7-13EAE197FA05}" name="Lot_2_ITT_Max" dataDxfId="1249" dataCellStyle="Currency"/>
    <tableColumn id="199" xr3:uid="{BE4B6B71-5396-4746-8DCC-47CA195DEB5B}" name="Lot_2_Neg_Min" dataDxfId="1248" dataCellStyle="Currency"/>
    <tableColumn id="198" xr3:uid="{CB2515FE-595E-4C51-B539-AC7FD88A5253}" name="Lot_2_Neg_Max" dataDxfId="1247" dataCellStyle="Currency"/>
    <tableColumn id="197" xr3:uid="{369BCD6C-4EE9-41E1-B85E-BB4451777EB4}" name="Lot_2_ISFT_Min" dataDxfId="1246" dataCellStyle="Currency"/>
    <tableColumn id="196" xr3:uid="{7AC20A30-8644-4FF9-954F-2D477EE34E5F}" name="Lot_2_ISFT_Max" dataDxfId="1245" dataCellStyle="Currency"/>
    <tableColumn id="90" xr3:uid="{16EA9178-4031-4D2F-9ADD-28BC81995605}" name="Lot_2_Cons_Min" dataDxfId="1244" dataCellStyle="Currency"/>
    <tableColumn id="91" xr3:uid="{67C8A1DE-A4AD-4083-81C3-AA1421850548}" name="Lot_2_Cons_Max" dataDxfId="1243" dataCellStyle="Currency"/>
    <tableColumn id="92" xr3:uid="{72852614-87F3-4D86-936F-0418FD0F5496}" name="Lot_3_Name" dataDxfId="1242" dataCellStyle="Currency"/>
    <tableColumn id="93" xr3:uid="{347838B2-F108-433B-B89E-F11E541B898D}" name="Lot_3_Description" dataDxfId="1241" dataCellStyle="Currency"/>
    <tableColumn id="95" xr3:uid="{A65B74A4-3F82-481E-BFB6-DF1C62C4B68A}" name="Lot_3_Approx" dataDxfId="1240" dataCellStyle="Currency"/>
    <tableColumn id="94" xr3:uid="{E39B74EC-8639-4442-84B2-1331C926BBD0}" name="Lot_3_Props" dataDxfId="1239" dataCellStyle="Currency"/>
    <tableColumn id="222" xr3:uid="{B5D0B6C5-2365-4F33-887F-82E6210B4A5F}" name="Lot_3_Type" dataDxfId="1238" dataCellStyle="Currency"/>
    <tableColumn id="98" xr3:uid="{377FAD36-EC65-4FBF-ABAC-534502D47468}" name="Lot_3_Value_type" dataDxfId="1237" dataCellStyle="Currency"/>
    <tableColumn id="99" xr3:uid="{F43DF265-C822-4E2A-B782-A56DFB039567}" name="Lot_3_Value_Max" dataDxfId="1236" dataCellStyle="Currency"/>
    <tableColumn id="100" xr3:uid="{DA971FA2-EE03-446A-BC07-8F605422C5C0}" name="Lot_3_Value_Min" dataDxfId="1235" dataCellStyle="Currency"/>
    <tableColumn id="207" xr3:uid="{92791D10-77E5-4D42-9817-F1202753B203}" name="Lot_3_ITT_Min" dataDxfId="1234" dataCellStyle="Currency"/>
    <tableColumn id="206" xr3:uid="{936CCD77-AE0A-4CD4-B83B-F917B2D25776}" name="Lot_3_ITT_Max" dataDxfId="1233" dataCellStyle="Currency"/>
    <tableColumn id="205" xr3:uid="{D4DDA0D9-336E-4188-8D30-B3402246E0B4}" name="Lot_3_Neg_Min" dataDxfId="1232" dataCellStyle="Currency"/>
    <tableColumn id="204" xr3:uid="{7CA5D2E3-5537-41CC-8C79-F4DE819D6B0E}" name="Lot_3_Neg_Max" dataDxfId="1231" dataCellStyle="Currency"/>
    <tableColumn id="203" xr3:uid="{36E39B52-2707-4704-AEE9-8C07A8FF715F}" name="Lot_3_ISFT_Min" dataDxfId="1230" dataCellStyle="Currency"/>
    <tableColumn id="202" xr3:uid="{66A723A1-6F0F-4AB0-AA51-9564A2375CC2}" name="Lot_3_ISFT_Max" dataDxfId="1229" dataCellStyle="Currency"/>
    <tableColumn id="101" xr3:uid="{2F4EB183-5233-4273-A529-718010E8A2C8}" name="Lot_3_Cons_Min" dataDxfId="1228" dataCellStyle="Currency"/>
    <tableColumn id="102" xr3:uid="{63BC6CFB-4EBC-4B9D-84CD-D155737A6F3C}" name="Lot_3_Cons_Max" dataDxfId="1227" dataCellStyle="Currency"/>
    <tableColumn id="107" xr3:uid="{E202A8F9-947F-4B9F-8187-932F10704C43}" name="Lot_4_Name" dataDxfId="1226" dataCellStyle="Currency"/>
    <tableColumn id="108" xr3:uid="{DC7F236F-F839-4DCC-A687-B5064AE0C7E4}" name="Lot_4_Description" dataDxfId="1225" dataCellStyle="Currency"/>
    <tableColumn id="110" xr3:uid="{591F9A48-D6FC-4785-94F7-20FD62EF8558}" name="Lot_4_Approx" dataDxfId="1224" dataCellStyle="Currency"/>
    <tableColumn id="109" xr3:uid="{D079D052-CBEA-4BFD-B642-0566D094447E}" name="Lot_4_Props" dataDxfId="1223" dataCellStyle="Currency"/>
    <tableColumn id="70" xr3:uid="{E2BE61B0-2847-48D1-B4FA-9F72AC28584D}" name="Lot_4_Type" dataDxfId="1222" dataCellStyle="Currency"/>
    <tableColumn id="111" xr3:uid="{91EC6F33-B64C-434F-9A2D-2F39E3BBA594}" name="Lot_4_Value_type" dataDxfId="1221" dataCellStyle="Currency"/>
    <tableColumn id="112" xr3:uid="{8EF86381-D42E-41E5-8382-FD0BDDD71AA1}" name="Lot_4_Value_Max" dataDxfId="1220" dataCellStyle="Currency"/>
    <tableColumn id="113" xr3:uid="{A1F6C291-EE3D-49C5-B8A7-3C363A441170}" name="Lot_4_Value_Min" dataDxfId="1219" dataCellStyle="Currency"/>
    <tableColumn id="213" xr3:uid="{EC7BE044-4D6A-4E9B-97D6-F4C80DD1B9DE}" name="Lot_4_ITT_Min" dataDxfId="1218" dataCellStyle="Currency"/>
    <tableColumn id="212" xr3:uid="{C749BB37-39C1-4C57-9594-ED07C4D53342}" name="Lot_4_ITT_Max" dataDxfId="1217" dataCellStyle="Currency"/>
    <tableColumn id="211" xr3:uid="{483D14E8-5E01-4ACE-AF41-0FB8A9857D0D}" name="Lot_4_Neg_Min" dataDxfId="1216" dataCellStyle="Currency"/>
    <tableColumn id="210" xr3:uid="{7FCEEA19-B13F-4DE9-B0C9-9FCC32D49934}" name="Lot_4_Neg_Max" dataDxfId="1215" dataCellStyle="Currency"/>
    <tableColumn id="209" xr3:uid="{B6DB1E79-FC0F-440E-8F39-32F5B35A6845}" name="Lot_4_ISFT_Min" dataDxfId="1214" dataCellStyle="Currency"/>
    <tableColumn id="208" xr3:uid="{E9D250A1-817B-4ABF-BC23-0E1677CB98EA}" name="Lot_4_ISFT_Max" dataDxfId="1213" dataCellStyle="Currency"/>
    <tableColumn id="114" xr3:uid="{BF897D4D-CCF3-49BE-8B9D-10F597F8740E}" name="Lot_4_Cons_Min" dataDxfId="1212" dataCellStyle="Currency"/>
    <tableColumn id="115" xr3:uid="{CA110089-B6F7-4060-823E-4F9843C2C7D6}" name="Lot_4_Cons_Max" dataDxfId="1211" dataCellStyle="Currency"/>
    <tableColumn id="116" xr3:uid="{80432A74-54DF-4241-8685-A250EEACC74B}" name="Lot_5_Name" dataDxfId="1210" dataCellStyle="Currency"/>
    <tableColumn id="117" xr3:uid="{D3CA762C-142C-4CF0-9BB2-D6546388D0F6}" name="Lot_5_Description" dataDxfId="1209" dataCellStyle="Currency"/>
    <tableColumn id="119" xr3:uid="{3A2C07AC-CADE-4487-89BC-08F476FAB8FD}" name="Lot_5_Approx" dataDxfId="1208" dataCellStyle="Currency"/>
    <tableColumn id="118" xr3:uid="{23594D18-66D7-4B4B-9E7B-467F6FE1B2F9}" name="Lot_5_Props" dataDxfId="1207" dataCellStyle="Currency"/>
    <tableColumn id="223" xr3:uid="{76CE6821-EA6C-48F1-8FDA-3046A386EB75}" name="Lot_5_Type" dataDxfId="1206" dataCellStyle="Currency"/>
    <tableColumn id="120" xr3:uid="{39D875E3-7941-4327-B654-5ED81CFAC1ED}" name="Lot_5_Value_type" dataDxfId="1205" dataCellStyle="Currency"/>
    <tableColumn id="121" xr3:uid="{880EEE6A-5913-460A-B986-ABEBDCAE83B0}" name="Lot_5_Value_Max" dataDxfId="1204" dataCellStyle="Currency"/>
    <tableColumn id="122" xr3:uid="{E90EBFFC-815A-4FAA-B612-78259392303F}" name="Lot_5_Value_Min" dataDxfId="1203" dataCellStyle="Currency"/>
    <tableColumn id="219" xr3:uid="{2619F7A1-E78E-4423-9212-AB396DEC44C2}" name="Lot_5_ITT_Min" dataDxfId="1202" dataCellStyle="Currency"/>
    <tableColumn id="218" xr3:uid="{622C449D-C34C-4A90-9B24-E4D65607CEE3}" name="Lot_5_ITT_Max" dataDxfId="1201" dataCellStyle="Currency"/>
    <tableColumn id="217" xr3:uid="{EFA37DF5-BAA6-4565-B430-8993D00B312B}" name="Lot_5_Neg_Min" dataDxfId="1200" dataCellStyle="Currency"/>
    <tableColumn id="216" xr3:uid="{E06116F2-A485-43B1-BC6C-9BF2D5CDE91F}" name="Lot_5_Neg_Max" dataDxfId="1199" dataCellStyle="Currency"/>
    <tableColumn id="215" xr3:uid="{51B9564B-0452-4CB8-9CD5-CB81FFA9B184}" name="Lot_5_ISFT_Min" dataDxfId="1198" dataCellStyle="Currency"/>
    <tableColumn id="214" xr3:uid="{8989FD4B-9200-4249-A3F0-FD05E3465CA4}" name="Lot_5_ISFT_Max" dataDxfId="1197" dataCellStyle="Currency"/>
    <tableColumn id="123" xr3:uid="{6C751073-C067-4994-9A6D-63E34F3E402F}" name="Lot_5_Cons_Min" dataDxfId="1196" dataCellStyle="Currency"/>
    <tableColumn id="124" xr3:uid="{080899BD-9FAF-4EAA-BD75-29CE803E2C9A}" name="Lot_5_Cons_Max" dataDxfId="1195" dataCellStyle="Currency"/>
    <tableColumn id="132" xr3:uid="{8B83BBFD-16FE-4430-9854-979F96FE0AD7}" name="Supplier_Type" dataDxfId="1194">
      <calculatedColumnFormula>IF(TBL_DATA_00_Doc_Merge[[#This Row],[Doc_Type]]="Selection", "Candidate", IF(TBL_DATA_00_Doc_Merge[[#This Row],[Doc_Type]]="Open", "Supplier", "Tenderer"))</calculatedColumnFormula>
    </tableColumn>
    <tableColumn id="61" xr3:uid="{00000000-0010-0000-0200-00003D000000}" name="Contract_commences" dataDxfId="1193">
      <calculatedColumnFormula>TEXT(Dates!$E$50, "MMMM, YYYY")</calculatedColumnFormula>
    </tableColumn>
    <tableColumn id="171" xr3:uid="{409CF3A4-8C27-472E-84C0-81696073376E}" name="Value_Type" dataDxfId="1192">
      <calculatedColumnFormula array="1">IFERROR(INDEX(TBL_ADD_02_Project_Info[Response], MATCH(1, ("All"=TBL_ADD_02_Project_Info[Lot])*("Value_type"=TBL_ADD_02_Project_Info[Ref]), 0)), "N/A")</calculatedColumnFormula>
    </tableColumn>
    <tableColumn id="178" xr3:uid="{722EFF05-5192-4738-B390-36B2E93284CF}" name="Value_Max" dataDxfId="1191">
      <calculatedColumnFormula array="1">IFERROR(TEXT(INDEX(TBL_ADD_02_Project_Info[Response], MATCH(1, ("All"=TBL_ADD_02_Project_Info[Lot])*("Value_Max"=TBL_ADD_02_Project_Info[Ref]), 0)), "£ #,###.00"), "N/A")</calculatedColumnFormula>
    </tableColumn>
    <tableColumn id="189" xr3:uid="{1E1F86CB-239E-4532-BF67-8200ED1A5426}" name="Value_Min" dataDxfId="1190">
      <calculatedColumnFormula array="1">IFERROR(TEXT(INDEX(TBL_ADD_02_Project_Info[Response], MATCH(1, ("All"=TBL_ADD_02_Project_Info[Lot])*("Value_Min"=TBL_ADD_02_Project_Info[Ref]), 0)), "£ #,###.00"), "N/A")</calculatedColumnFormula>
    </tableColumn>
    <tableColumn id="144" xr3:uid="{1DB623CA-FCA0-4F93-B5EF-2D2D979DBAE1}" name="min_contracts" dataDxfId="1189">
      <calculatedColumnFormula>IF('Project Info'!$K$56&gt;=11, 'Project Info'!$K$56, VLOOKUP('Project Info'!$K$56, TBL_REF_01_Number[], 2, FALSE))</calculatedColumnFormula>
    </tableColumn>
    <tableColumn id="11" xr3:uid="{00000000-0010-0000-0200-00000B000000}" name="max_contracts" dataDxfId="1188">
      <calculatedColumnFormula>IF('Project Info'!$E$57&gt;=11, 'Project Info'!$E$57, VLOOKUP('Project Info'!$E$57, TBL_REF_01_Number[], 2, FALSE))</calculatedColumnFormula>
    </tableColumn>
    <tableColumn id="13" xr3:uid="{00000000-0010-0000-0200-00000D000000}" name="form_of_contract" dataDxfId="1187">
      <calculatedColumnFormula>IF('Project Info'!$E$38="Other (please provide info)", 'Project Info'!$F$38, 'Project Info'!$E$39)</calculatedColumnFormula>
    </tableColumn>
    <tableColumn id="50" xr3:uid="{00000000-0010-0000-0200-000032000000}" name="CA_or_CR full" dataDxfId="1186">
      <calculatedColumnFormula>'Project Info'!$E$41</calculatedColumnFormula>
    </tableColumn>
    <tableColumn id="64" xr3:uid="{00000000-0010-0000-0200-000040000000}" name="CA_or_CR" dataDxfId="1185">
      <calculatedColumnFormula>'Project Info'!$F$41</calculatedColumnFormula>
    </tableColumn>
    <tableColumn id="97" xr3:uid="{00000000-0010-0000-0200-000061000000}" name="Duration_type" dataDxfId="1184">
      <calculatedColumnFormula>SUBSTITUTE('Project Info'!$E$48, "s", "")</calculatedColumnFormula>
    </tableColumn>
    <tableColumn id="15" xr3:uid="{00000000-0010-0000-0200-00000F000000}" name="min_duration" dataDxfId="1183">
      <calculatedColumnFormula>IF('Project Info'!$K$49&gt;10, 'Project Info'!$K$49, VLOOKUP('Project Info'!$K$49, TBL_REF_01_Number[], 2, FALSE))&amp;" "&amp;IF('Project Info'!$K$49&gt;1, TBL_DATA_00_Doc_Merge[[#This Row],[Duration_type]]&amp;"s", TBL_DATA_00_Doc_Merge[[#This Row],[Duration_type]])</calculatedColumnFormula>
    </tableColumn>
    <tableColumn id="16" xr3:uid="{00000000-0010-0000-0200-000010000000}" name="max_duration" dataDxfId="1182">
      <calculatedColumnFormula>IF('Project Info'!$K$50&gt;10, 'Project Info'!$K$50, VLOOKUP('Project Info'!$K$50, TBL_REF_01_Number[], 2, FALSE))&amp;" "&amp;IF('Project Info'!$K$50&gt;1, TBL_DATA_00_Doc_Merge[[#This Row],[Duration_type]]&amp;"s", TBL_DATA_00_Doc_Merge[[#This Row],[Duration_type]])</calculatedColumnFormula>
    </tableColumn>
    <tableColumn id="65" xr3:uid="{00000000-0010-0000-0200-000041000000}" name="max_extension" dataDxfId="1181">
      <calculatedColumnFormula>IF('Project Info'!$K$50='Project Info'!$K$49, "N/A", IF('Project Info'!$K$50-'Project Info'!$K$49&gt;10, 'Project Info'!$K$50-'Project Info'!$K$49&amp;" "&amp;TBL_DATA_00_Doc_Merge[[#This Row],[Duration_type]]&amp;"s", VLOOKUP('Project Info'!$K$50-'Project Info'!$K$49, TBL_REF_01_Number[], 2, FALSE))&amp;" "&amp;IF('Project Info'!$K$50-'Project Info'!$K$49&gt;1, TBL_DATA_00_Doc_Merge[[#This Row],[Duration_type]]&amp;"s", TBL_DATA_00_Doc_Merge[[#This Row],[Duration_type]]))</calculatedColumnFormula>
    </tableColumn>
    <tableColumn id="54" xr3:uid="{D196609D-3199-4EA1-B013-5154D907804C}" name="Approx" dataDxfId="1180">
      <calculatedColumnFormula>'Project Info'!$E$34</calculatedColumnFormula>
    </tableColumn>
    <tableColumn id="21" xr3:uid="{00000000-0010-0000-0200-000015000000}" name="Props" dataDxfId="1179">
      <calculatedColumnFormula>IF('Project Info'!$E$33&gt;10, 'Project Info'!$E$33, VLOOKUP('Project Info'!$E$33, TBL_REF_01_Number[], 2, FALSE))</calculatedColumnFormula>
    </tableColumn>
    <tableColumn id="20" xr3:uid="{00000000-0010-0000-0200-000014000000}" name="Type" dataDxfId="1178">
      <calculatedColumnFormula>'Project Info'!$E$32</calculatedColumnFormula>
    </tableColumn>
    <tableColumn id="22" xr3:uid="{00000000-0010-0000-0200-000016000000}" name="Leaseholders" dataDxfId="1177">
      <calculatedColumnFormula>REF_Leaseholders</calculatedColumnFormula>
    </tableColumn>
    <tableColumn id="24" xr3:uid="{00000000-0010-0000-0200-000018000000}" name="Split_Price" dataDxfId="1176">
      <calculatedColumnFormula>REF_Split_Price</calculatedColumnFormula>
    </tableColumn>
    <tableColumn id="23" xr3:uid="{00000000-0010-0000-0200-000017000000}" name="Split_Tech" dataDxfId="1175">
      <calculatedColumnFormula>REF_Split_Tech</calculatedColumnFormula>
    </tableColumn>
    <tableColumn id="71" xr3:uid="{00000000-0010-0000-0200-000047000000}" name="Int_or_SV" dataDxfId="1174">
      <calculatedColumnFormula>REF_Int_or_SV</calculatedColumnFormula>
    </tableColumn>
    <tableColumn id="72" xr3:uid="{00000000-0010-0000-0200-000048000000}" name="Marks" dataDxfId="1173">
      <calculatedColumnFormula>REF_marks</calculatedColumnFormula>
    </tableColumn>
    <tableColumn id="62" xr3:uid="{70508061-0002-4112-B5BA-D512F586B438}" name="Select_Include" dataDxfId="1172">
      <calculatedColumnFormula>REF_Select_Include</calculatedColumnFormula>
    </tableColumn>
    <tableColumn id="60" xr3:uid="{59B5760A-EB0F-49B4-9DF8-9EE54F7CE0CE}" name="CCS_Q_Option" dataDxfId="1171">
      <calculatedColumnFormula>REF_CCS_Q</calculatedColumnFormula>
    </tableColumn>
    <tableColumn id="125" xr3:uid="{39D7C946-37EB-4F39-961E-457E1E2B817F}" name="Select_1_Qs" dataDxfId="1170">
      <calculatedColumnFormula>REF_Select_1_Qs</calculatedColumnFormula>
    </tableColumn>
    <tableColumn id="187" xr3:uid="{A5B071C5-4F0B-49CA-BB84-71406F241B1C}" name="Select_1_Response" dataDxfId="1169">
      <calculatedColumnFormula>REF_Select_1_Response</calculatedColumnFormula>
    </tableColumn>
    <tableColumn id="126" xr3:uid="{6D9F36C3-F7BD-4E62-91BB-2D6656375947}" name="Select_Weighted" dataDxfId="1168">
      <calculatedColumnFormula>REF_Select_Weighted</calculatedColumnFormula>
    </tableColumn>
    <tableColumn id="183" xr3:uid="{7AFE3633-150E-4D78-8BD9-B1B6B311A955}" name="Select_Marking" dataDxfId="1167">
      <calculatedColumnFormula>REF_Select_Marking</calculatedColumnFormula>
    </tableColumn>
    <tableColumn id="167" xr3:uid="{5F2FB0C7-38A2-48EC-9F0C-E8305B1FE663}" name="Select_Fail" dataDxfId="1166">
      <calculatedColumnFormula>REF_Select_Fail</calculatedColumnFormula>
    </tableColumn>
    <tableColumn id="164" xr3:uid="{8265A9BF-A760-493B-B35D-0E2006D0E749}" name="Tech_1_Qs" dataDxfId="1165">
      <calculatedColumnFormula>REF_Tech_1_Qs</calculatedColumnFormula>
    </tableColumn>
    <tableColumn id="186" xr3:uid="{CD41DF11-E234-4B7F-AACA-BB37DDF715A2}" name="Tech_1_Response" dataDxfId="1164">
      <calculatedColumnFormula>REF_Tech_1_Response</calculatedColumnFormula>
    </tableColumn>
    <tableColumn id="165" xr3:uid="{2A766CD3-D8C6-4F8B-BC07-89C8918CAC22}" name="Tech_Weighted" dataDxfId="1163">
      <calculatedColumnFormula>REF_Tech_Weighted</calculatedColumnFormula>
    </tableColumn>
    <tableColumn id="163" xr3:uid="{3EFCE553-FD00-4115-A86D-2CDA6884900E}" name="Tech_Weighting" dataDxfId="1162">
      <calculatedColumnFormula>REF_Tech_Weighting</calculatedColumnFormula>
    </tableColumn>
    <tableColumn id="184" xr3:uid="{7370DAB8-293E-48CC-97F7-D58ED60BD7A4}" name="Tech_Marking" dataDxfId="1161">
      <calculatedColumnFormula>REF_Tech_Marking</calculatedColumnFormula>
    </tableColumn>
    <tableColumn id="169" xr3:uid="{B3A5F7F0-365F-4E99-9689-F8CF1EAA0053}" name="Tech_Fail" dataDxfId="1160">
      <calculatedColumnFormula>REF_Tech_Fail</calculatedColumnFormula>
    </tableColumn>
    <tableColumn id="156" xr3:uid="{95D80004-2021-4C8C-984E-88809CAE9A5F}" name="IntSV_1_Qs" dataDxfId="1159">
      <calculatedColumnFormula>REF_IntSV_1_Qs</calculatedColumnFormula>
    </tableColumn>
    <tableColumn id="18" xr3:uid="{56701304-9F9A-4BC3-9C8A-80D747AAE8C7}" name="IntSV_Weighted" dataDxfId="1158">
      <calculatedColumnFormula>REF_IntSV_Weighted</calculatedColumnFormula>
    </tableColumn>
    <tableColumn id="155" xr3:uid="{822182BF-C48D-4010-AD76-06E061B97D65}" name="IntSV_Weighting" dataDxfId="1157">
      <calculatedColumnFormula>REF_IntSV_Weighting</calculatedColumnFormula>
    </tableColumn>
    <tableColumn id="185" xr3:uid="{EC650DFB-49B7-4347-A69D-A632B6B3392F}" name="IntSV_Marking" dataDxfId="1156">
      <calculatedColumnFormula>REF_IntSV_Marking</calculatedColumnFormula>
    </tableColumn>
    <tableColumn id="170" xr3:uid="{7C3566AA-B70F-4A0C-A813-4B6CC300953B}" name="IntSV_Fail" dataDxfId="1155">
      <calculatedColumnFormula>REF_IntSV_Fail</calculatedColumnFormula>
    </tableColumn>
    <tableColumn id="26" xr3:uid="{2B3906D7-0827-47E5-93D3-ED366B698654}" name="Limit_Wins" dataDxfId="1154">
      <calculatedColumnFormula>REF_Limit_wins</calculatedColumnFormula>
    </tableColumn>
    <tableColumn id="172" xr3:uid="{9E4D03E1-7F83-4FF9-ABF0-3703674C7A2D}" name="ITT_Min" dataDxfId="1153">
      <calculatedColumnFormula>IF('Project Info'!$E$86&gt;11, 'Project Info'!$E$86, VLOOKUP('Project Info'!$E$86, TBL_REF_01_Number[], 2, FALSE))</calculatedColumnFormula>
    </tableColumn>
    <tableColumn id="173" xr3:uid="{774F8C1B-03C4-4D0D-9396-639349AD9E22}" name="ITT_Max" dataDxfId="1152">
      <calculatedColumnFormula>IF('Project Info'!$E$87&gt;11, 'Project Info'!$E$87, VLOOKUP('Project Info'!$E$87, TBL_REF_01_Number[], 2, FALSE))</calculatedColumnFormula>
    </tableColumn>
    <tableColumn id="174" xr3:uid="{D371ED1D-57F2-45AB-A4A4-C6630279AD01}" name="Neg_Min" dataDxfId="1151">
      <calculatedColumnFormula>IF('Project Info'!$E$89&gt;11, 'Project Info'!$E$89, VLOOKUP('Project Info'!$E$89, TBL_REF_01_Number[], 2, FALSE))</calculatedColumnFormula>
    </tableColumn>
    <tableColumn id="176" xr3:uid="{B43E0F45-A534-43CB-8633-D4CD21CAEE4C}" name="Neg_Max" dataDxfId="1150">
      <calculatedColumnFormula>IF('Project Info'!$E$90&gt;11, 'Project Info'!$E$90, VLOOKUP('Project Info'!$E$90, TBL_REF_01_Number[], 2, FALSE))</calculatedColumnFormula>
    </tableColumn>
    <tableColumn id="177" xr3:uid="{90718A41-EC06-4437-8B42-00F431EB0CF2}" name="Fin_Min" dataDxfId="1149">
      <calculatedColumnFormula>IF('Project Info'!$E$92&gt;11, 'Project Info'!$E$92, VLOOKUP('Project Info'!$E$92, TBL_REF_01_Number[], 2, FALSE))</calculatedColumnFormula>
    </tableColumn>
    <tableColumn id="179" xr3:uid="{DBEC4EAC-C186-4A90-A0BE-A03C028255B6}" name="Fin_Max" dataDxfId="1148">
      <calculatedColumnFormula>IF('Project Info'!$E$93&gt;11, 'Project Info'!$E$93, VLOOKUP('Project Info'!$E$93, TBL_REF_01_Number[], 2, FALSE))</calculatedColumnFormula>
    </tableColumn>
    <tableColumn id="30" xr3:uid="{49704E82-5017-4920-BEED-70E557CDFC24}" name="Select_Points" dataDxfId="1147"/>
    <tableColumn id="55" xr3:uid="{00000000-0010-0000-0200-000037000000}" name="Select_Points_Lot_1" dataDxfId="1146"/>
    <tableColumn id="6" xr3:uid="{8CCF6A50-BF08-4A4F-8122-72B2AC1B0BF1}" name="Select_Points_Lot_2" dataDxfId="1145"/>
    <tableColumn id="12" xr3:uid="{399205C8-58DE-407C-B225-C4220466A894}" name="Select_Points_Lot_3" dataDxfId="1144"/>
    <tableColumn id="25" xr3:uid="{47395881-42B7-488C-A3B0-1AD9B5333116}" name="Select_Points_Lot_4" dataDxfId="1143"/>
    <tableColumn id="27" xr3:uid="{93EDB7B3-8C70-428E-9F68-4FCCA68E1683}" name="Select_Points_Lot_5" dataDxfId="1142"/>
    <tableColumn id="40" xr3:uid="{DABFA366-3873-4D25-AFFD-DA785FB5AAC3}" name="Tech_Points" dataDxfId="1141"/>
    <tableColumn id="162" xr3:uid="{64F93860-3099-4981-8440-E2EB0B05B5CB}" name="Tech_Points_Lot_1" dataDxfId="1140"/>
    <tableColumn id="161" xr3:uid="{000C2289-8CFF-45EA-955A-3F376438567F}" name="Tech_Points_Lot_2" dataDxfId="1139"/>
    <tableColumn id="160" xr3:uid="{04C539F2-5B1F-42EB-873A-AE71B6DA93D5}" name="Tech_Points_Lot_3" dataDxfId="1138"/>
    <tableColumn id="159" xr3:uid="{96ED64BD-D04E-4A41-AEE5-E308D7EBE348}" name="Tech_Points_Lot_4" dataDxfId="1137"/>
    <tableColumn id="158" xr3:uid="{22443F55-E59C-4A55-B51D-0C33F95A1457}" name="Tech_Points_Lot_5" dataDxfId="1136"/>
    <tableColumn id="37" xr3:uid="{265F67B1-459B-4C78-983C-A7DEB8269DBC}" name="IntSV_Points" dataDxfId="1135"/>
    <tableColumn id="154" xr3:uid="{1B6FB85E-D38B-4289-B780-7A09182CD9A1}" name="IntSV_Points_Lot_1" dataDxfId="1134"/>
    <tableColumn id="153" xr3:uid="{1879E2D4-EE5B-4A1A-8B06-45919DF55639}" name="IntSV_Points_Lot_2" dataDxfId="1133"/>
    <tableColumn id="152" xr3:uid="{3D36399F-E936-44CE-B1C4-6A61DAA2B9F1}" name="IntSV_Points_Lot_3" dataDxfId="1132"/>
    <tableColumn id="151" xr3:uid="{86CA8322-4771-4AAC-8103-4514E0C5F459}" name="IntSV_Points_Lot_4" dataDxfId="1131"/>
    <tableColumn id="150" xr3:uid="{7970B122-FF95-419E-803A-7DCC7A0C173D}" name="IntSV_Points_Lot_5" dataDxfId="1130"/>
    <tableColumn id="31" xr3:uid="{A9BD8E5D-2366-4267-AA8B-5FC6EA5D3D65}" name="Select_Min" dataDxfId="1129"/>
    <tableColumn id="140" xr3:uid="{5E96BC4D-0A39-4CFB-97F0-C77E70E3DEED}" name="Select_Min_Lot_1" dataDxfId="1128"/>
    <tableColumn id="139" xr3:uid="{596AA935-19E3-41AB-86F8-9748D2200D9C}" name="Select_Min_Lot_2" dataDxfId="1127"/>
    <tableColumn id="138" xr3:uid="{B4888C9C-C743-4E38-A0C5-0F8C47DE80BC}" name="Select_Min_Lot_3" dataDxfId="1126"/>
    <tableColumn id="137" xr3:uid="{26AAA5AC-ABDE-4F6F-BCCD-50B336BCBA30}" name="Select_Min_Lot_4" dataDxfId="1125"/>
    <tableColumn id="136" xr3:uid="{815BEDFE-1C69-41DC-A53A-29AB8DF7C164}" name="Select_Min_Lot_5" dataDxfId="1124"/>
    <tableColumn id="127" xr3:uid="{36B4D492-81FD-45DF-BAD8-38FAC845522F}" name="Max_Award" dataDxfId="1123">
      <calculatedColumnFormula>IF(TBL_DATA_00_Doc_Merge[[#This Row],[Limit_Wins]]="Yes", IF('Project Info'!$K$59&lt;=10, VLOOKUP('Project Info'!$K$59, TBL_REF_01_Number[], 2, FALSE), 'Project Info'!$K$59), "N/A")</calculatedColumnFormula>
    </tableColumn>
    <tableColumn id="134" xr3:uid="{E7FC545E-183C-4EE9-A86E-AF69D0FA200E}" name="PF_or_TB?" dataDxfId="1122">
      <calculatedColumnFormula>IF('Project Info'!$K$36="Partnering", "Price Framework", "Tender Book")</calculatedColumnFormula>
    </tableColumn>
    <tableColumn id="32" xr3:uid="{00000000-0010-0000-0200-000020000000}" name="Tupe" dataDxfId="1121">
      <calculatedColumnFormula>'Project Info'!$K$43</calculatedColumnFormula>
    </tableColumn>
    <tableColumn id="33" xr3:uid="{00000000-0010-0000-0200-000021000000}" name="Tupe_info" dataDxfId="1120">
      <calculatedColumnFormula>'Project Info'!$K$44</calculatedColumnFormula>
    </tableColumn>
    <tableColumn id="34" xr3:uid="{00000000-0010-0000-0200-000022000000}" name="Insurance_Employers" dataDxfId="1119" dataCellStyle="Currency">
      <calculatedColumnFormula>'Project Info'!$K$62</calculatedColumnFormula>
    </tableColumn>
    <tableColumn id="35" xr3:uid="{00000000-0010-0000-0200-000023000000}" name="Insurance_third" dataDxfId="1118" dataCellStyle="Currency">
      <calculatedColumnFormula>'Project Info'!$K$63</calculatedColumnFormula>
    </tableColumn>
    <tableColumn id="36" xr3:uid="{00000000-0010-0000-0200-000024000000}" name="Insurance_PI" dataDxfId="1117" dataCellStyle="Currency">
      <calculatedColumnFormula>'Project Info'!$K$64</calculatedColumnFormula>
    </tableColumn>
    <tableColumn id="175" xr3:uid="{8496B226-137B-4A02-B43D-1A5F39CA5AFB}" name="Insurance_Product" dataDxfId="1116" dataCellStyle="Currency">
      <calculatedColumnFormula>'Project Info'!$K$65</calculatedColumnFormula>
    </tableColumn>
    <tableColumn id="68" xr3:uid="{00000000-0010-0000-0200-000044000000}" name="SQ_Clarification_deadline" dataDxfId="1115">
      <calculatedColumnFormula array="1">TEXT(INDEX(TBL_ADD_03_Dates[Date], MATCH(1, ("Select"=TBL_ADD_03_Dates[Stage])*("Clarification"=TBL_ADD_03_Dates[Activity]),0)), "d MMMM YYYY")</calculatedColumnFormula>
    </tableColumn>
    <tableColumn id="67" xr3:uid="{00000000-0010-0000-0200-000043000000}" name="SQ_Return_date" dataDxfId="1114">
      <calculatedColumnFormula array="1">TEXT(INDEX(TBL_ADD_03_Dates[Date], MATCH(1, ("Select"=TBL_ADD_03_Dates[Stage])*("Return"=TBL_ADD_03_Dates[Activity]),0)), "d MMMM YYYY")</calculatedColumnFormula>
    </tableColumn>
    <tableColumn id="66" xr3:uid="{00000000-0010-0000-0200-000042000000}" name="SQ_Return_time" dataDxfId="1113">
      <calculatedColumnFormula array="1">IF(INDEX(TBL_ADD_03_Dates[Date], MATCH(1, ("SQ"=TBL_ADD_03_Dates[Stage])*("Time"=TBL_ADD_03_Dates[Activity]),0))=0.5,"12:00 noon",IF(INDEX(TBL_ADD_03_Dates[Date], MATCH(1, ("SQ"=TBL_ADD_03_Dates[Stage])*("Time"=TBL_ADD_03_Dates[Activity]),0))&lt;0.5, CONCATENATE(HOUR(INDEX(TBL_ADD_03_Dates[Date], MATCH(1, ("SQ"=TBL_ADD_03_Dates[Stage])*("Time"=TBL_ADD_03_Dates[Activity]),0))), ":00 am"),CONCATENATE((HOUR(INDEX(TBL_ADD_03_Dates[Date], MATCH(1, ("SQ"=TBL_ADD_03_Dates[Stage])*("Time"=TBL_ADD_03_Dates[Activity]),0)))-12), ":00 pm")))</calculatedColumnFormula>
    </tableColumn>
    <tableColumn id="105" xr3:uid="{610EE047-9718-4904-986B-10918C10E0A8}" name="Issue_date" dataDxfId="1112">
      <calculatedColumnFormula array="1">TEXT(INDEX(TBL_ADD_03_Dates[Date], MATCH(1, ("Tender"=TBL_ADD_03_Dates[Stage])*("Issue"=TBL_ADD_03_Dates[Activity]),0)), "d MMMM YYYY")</calculatedColumnFormula>
    </tableColumn>
    <tableColumn id="38" xr3:uid="{00000000-0010-0000-0200-000026000000}" name="Clarification_deadline" dataDxfId="1111">
      <calculatedColumnFormula array="1">TEXT(INDEX(TBL_ADD_03_Dates[Date], MATCH(1, ("Tender"=TBL_ADD_03_Dates[Stage])*("Clarification"=TBL_ADD_03_Dates[Activity]),0)), "d MMMM YYYY")</calculatedColumnFormula>
    </tableColumn>
    <tableColumn id="39" xr3:uid="{00000000-0010-0000-0200-000027000000}" name="Return_date" dataDxfId="1110">
      <calculatedColumnFormula array="1">TEXT(INDEX(TBL_ADD_03_Dates[Date], MATCH(1, ("Tender"=TBL_ADD_03_Dates[Stage])*("Return"=TBL_ADD_03_Dates[Activity]),0)), "d MMMM YYYY")</calculatedColumnFormula>
    </tableColumn>
    <tableColumn id="63" xr3:uid="{00000000-0010-0000-0200-00003F000000}" name="Return_time" dataDxfId="1109">
      <calculatedColumnFormula array="1">IF(INDEX(TBL_ADD_03_Dates[Date], MATCH(1, ("SQ"=TBL_ADD_03_Dates[Stage])*("Time"=TBL_ADD_03_Dates[Activity]),0))=0.5,"12:00 noon",IF(INDEX(TBL_ADD_03_Dates[Date], MATCH(1, ("SQ"=TBL_ADD_03_Dates[Stage])*("Time"=TBL_ADD_03_Dates[Activity]),0))&lt;0.5, CONCATENATE(HOUR(INDEX(TBL_ADD_03_Dates[Date], MATCH(1, ("SQ"=TBL_ADD_03_Dates[Stage])*("Time"=TBL_ADD_03_Dates[Activity]),0))), ":00 am"),CONCATENATE((HOUR(INDEX(TBL_ADD_03_Dates[Date], MATCH(1, ("SQ"=TBL_ADD_03_Dates[Stage])*("Time"=TBL_ADD_03_Dates[Activity]),0)))-12), ":00 pm")))</calculatedColumnFormula>
    </tableColumn>
    <tableColumn id="69" xr3:uid="{804BBF98-A332-46EA-A7C4-23F974F213E2}" name="Advise_IntSV" dataDxfId="1108">
      <calculatedColumnFormula array="1">TEXT(INDEX(TBL_ADD_03_Dates[Date], MATCH(1, ("Tender"=TBL_ADD_03_Dates[Stage])*("IntSV_Advise"=TBL_ADD_03_Dates[Activity]),0)), "d MMMM YYYY")</calculatedColumnFormula>
    </tableColumn>
    <tableColumn id="79" xr3:uid="{1F2CFE42-A09F-4912-910B-6F263EDBB097}" name="IntSV_Start" dataDxfId="1107">
      <calculatedColumnFormula array="1">INDEX(TBL_ADD_03_Dates[Date], MATCH(1, ("ITT"=TBL_ADD_03_Dates[Stage])*("IntSV_Start"=TBL_ADD_03_Dates[Activity]),0))</calculatedColumnFormula>
    </tableColumn>
    <tableColumn id="104" xr3:uid="{9E209B3F-0383-4D78-8834-ADD5865A2CA0}" name="IntSV_End" dataDxfId="1106">
      <calculatedColumnFormula array="1">INDEX(TBL_ADD_03_Dates[Date], MATCH(1, ("ITT"=TBL_ADD_03_Dates[Stage])*("IntSV_End"=TBL_ADD_03_Dates[Activity]),0))</calculatedColumnFormula>
    </tableColumn>
    <tableColumn id="148" xr3:uid="{A70B6E84-7053-417C-B0E0-DA622D4F03BC}" name="IntSV_Dates" dataDxfId="1105">
      <calculatedColumnFormula>IF(TBL_DATA_00_Doc_Merge[[#This Row],[IntSV_Start]]=TBL_DATA_00_Doc_Merge[[#This Row],[IntSV_End]], CONCATENATE("on ", TEXT(TBL_DATA_00_Doc_Merge[[#This Row],[IntSV_Start]], "DDDD"), " ", DAY(TBL_DATA_00_Doc_Merge[[#This Row],[IntSV_Start]]),"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"")&lt;&gt;"", CONCATENATE("between ", TEXT(TBL_DATA_00_Doc_Merge[[#This Row],[IntSV_Start]], "DDDD"), " ", DAY(TBL_DATA_00_Doc_Merge[[#This Row],[IntSV_Start]]), " and ", TEXT(TBL_DATA_00_Doc_Merge[[#This Row],[IntSV_End]], "DDDD"), " ", DAY(TBL_DATA_00_Doc_Merge[[#This Row],[IntSV_End]]),"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IF(YEAR(TBL_DATA_00_Doc_Merge[[#This Row],[IntSV_Start]])=YEAR(TBL_DATA_00_Doc_Merge[[#This Row],[IntSV_End]]), CONCATENATE("between ", TEXT(TBL_DATA_00_Doc_Merge[[#This Row],[IntSV_Start]], "DDDD"), " ", DAY(TBL_DATA_00_Doc_Merge[[#This Row],[IntSV_Start]]), " ", TEXT(TBL_DATA_00_Doc_Merge[[#This Row],[IntSV_Start]], "MMMM"), " and ", TEXT(TBL_DATA_00_Doc_Merge[[#This Row],[IntSV_End]], "DDDD"), " ", DAY(TBL_DATA_00_Doc_Merge[[#This Row],[IntSV_End]])," ",  TEXT(TBL_DATA_00_Doc_Merge[[#This Row],[IntSV_End]], "MMMM")," ",YEAR(TBL_DATA_00_Doc_Merge[[#This Row],[IntSV_End]])), CONCATENATE("between ", TEXT(TBL_DATA_00_Doc_Merge[[#This Row],[IntSV_Start]], "DDDD"), " ", DAY(TBL_DATA_00_Doc_Merge[[#This Row],[IntSV_Start]]), " ", TEXT(TBL_DATA_00_Doc_Merge[[#This Row],[IntSV_Start]], "MMMM")," ", YEAR(TBL_DATA_00_Doc_Merge[[#This Row],[IntSV_Start]]), " and ", TEXT(TBL_DATA_00_Doc_Merge[[#This Row],[IntSV_End]], "DDDD"), " ", DAY(TBL_DATA_00_Doc_Merge[[#This Row],[IntSV_End]])," ",  TEXT(TBL_DATA_00_Doc_Merge[[#This Row],[IntSV_End]], "MMMM")," ",YEAR(TBL_DATA_00_Doc_Merge[[#This Row],[IntSV_End]])))))</calculatedColumnFormula>
    </tableColumn>
    <tableColumn id="143" xr3:uid="{8878ED7D-CFDE-43FC-A68E-DE08BCB26440}" name="Neg_Start" dataDxfId="1104">
      <calculatedColumnFormula array="1">INDEX(TBL_ADD_03_Dates[Date], MATCH(1, ("Neg"=TBL_ADD_03_Dates[Stage])*("Start"=TBL_ADD_03_Dates[Activity]),0))</calculatedColumnFormula>
    </tableColumn>
    <tableColumn id="142" xr3:uid="{67FDB705-4A76-43B0-8B44-7CFE6C2914C1}" name="Neg_End" dataDxfId="1103">
      <calculatedColumnFormula array="1">INDEX(TBL_ADD_03_Dates[Date], MATCH(1, ("Neg"=TBL_ADD_03_Dates[Stage])*("End"=TBL_ADD_03_Dates[Activity]),0))</calculatedColumnFormula>
    </tableColumn>
    <tableColumn id="149" xr3:uid="{DC5E9630-7A2E-4A4A-B6E4-246C05AC3FEF}" name="Neg_Dates" dataDxfId="1102">
      <calculatedColumnFormula>IF(TBL_DATA_00_Doc_Merge[[#This Row],[Neg_Start]]=TBL_DATA_00_Doc_Merge[[#This Row],[Neg_End]], CONCATENATE("on ", TEXT(TBL_DATA_00_Doc_Merge[[#This Row],[Neg_Start]], "DDDD"), " ", DAY(TBL_DATA_00_Doc_Merge[[#This Row],[Neg_Start]]),"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IF(IF(AND(MONTH(TBL_DATA_00_Doc_Merge[[#This Row],[Neg_Start]])=MONTH(TBL_DATA_00_Doc_Merge[[#This Row],[Neg_End]]), YEAR(TBL_DATA_00_Doc_Merge[[#This Row],[Neg_Start]])=YEAR(TBL_DATA_00_Doc_Merge[[#This Row],[Neg_End]])), CONCATENATE(TEXT(TBL_DATA_00_Doc_Merge[[#This Row],[Neg_Start]], "MMMM"), " ", YEAR(TBL_DATA_00_Doc_Merge[[#This Row],[Neg_Start]])), "")&lt;&gt;"", CONCATENATE("between ", TEXT(TBL_DATA_00_Doc_Merge[[#This Row],[Neg_Start]], "DDDD"), " ", DAY(TBL_DATA_00_Doc_Merge[[#This Row],[Neg_Start]]), " and ", TEXT(TBL_DATA_00_Doc_Merge[[#This Row],[Neg_End]], "DDDD"), " ", DAY(TBL_DATA_00_Doc_Merge[[#This Row],[Neg_End]]),"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IF(YEAR(TBL_DATA_00_Doc_Merge[[#This Row],[Neg_Start]])=YEAR(TBL_DATA_00_Doc_Merge[[#This Row],[Neg_End]]), CONCATENATE("between ", TEXT(TBL_DATA_00_Doc_Merge[[#This Row],[Neg_Start]], "DDDD"), " ", DAY(TBL_DATA_00_Doc_Merge[[#This Row],[Neg_Start]]), " ", TEXT(TBL_DATA_00_Doc_Merge[[#This Row],[Neg_Start]], "MMMM"), " and ", TEXT(TBL_DATA_00_Doc_Merge[[#This Row],[Neg_End]], "DDDD"), " ", DAY(TBL_DATA_00_Doc_Merge[[#This Row],[Neg_End]])," ",  TEXT(TBL_DATA_00_Doc_Merge[[#This Row],[Neg_End]], "MMMM")," ",YEAR(TBL_DATA_00_Doc_Merge[[#This Row],[Neg_End]])), CONCATENATE("between ", TEXT(TBL_DATA_00_Doc_Merge[[#This Row],[Neg_Start]], "DDDD"), " ", DAY(TBL_DATA_00_Doc_Merge[[#This Row],[Neg_Start]]), " ", TEXT(TBL_DATA_00_Doc_Merge[[#This Row],[Neg_Start]], "MMMM")," ", YEAR(TBL_DATA_00_Doc_Merge[[#This Row],[Neg_Start]]), " and ", TEXT(TBL_DATA_00_Doc_Merge[[#This Row],[Neg_End]], "DDDD"), " ", DAY(TBL_DATA_00_Doc_Merge[[#This Row],[Neg_End]])," ",  TEXT(TBL_DATA_00_Doc_Merge[[#This Row],[Neg_End]], "MMMM")," ",YEAR(TBL_DATA_00_Doc_Merge[[#This Row],[Neg_End]])))))</calculatedColumnFormula>
    </tableColumn>
    <tableColumn id="133" xr3:uid="{14DE2DAE-0F16-456C-A959-AF2314E36894}" name="Final_Issue_Date" dataDxfId="1101"/>
    <tableColumn id="147" xr3:uid="{89E54160-5BAD-4971-9017-ADBFB9955C20}" name="Final_Clarification_deadline" dataDxfId="1100">
      <calculatedColumnFormula array="1">TEXT(INDEX(TBL_ADD_03_Dates[Date], MATCH(1, ("Final"=TBL_ADD_03_Dates[Stage])*("Clarification"=TBL_ADD_03_Dates[Activity]),0)), "d MMMM YYYY")</calculatedColumnFormula>
    </tableColumn>
    <tableColumn id="146" xr3:uid="{E5B910A8-8C89-403D-81A8-BD1F2E2DC22E}" name="Final_Return_date" dataDxfId="1099">
      <calculatedColumnFormula array="1">TEXT(INDEX(TBL_ADD_03_Dates[Date], MATCH(1, ("Final"=TBL_ADD_03_Dates[Stage])*("Return"=TBL_ADD_03_Dates[Activity]),0)), "d MMMM YYYY")</calculatedColumnFormula>
    </tableColumn>
    <tableColumn id="145" xr3:uid="{E01846F3-CDCF-4BA0-A2F1-02408DD94B4C}" name="Final_Return_time" dataDxfId="1098">
      <calculatedColumnFormula array="1">IF(INDEX(TBL_ADD_03_Dates[Date], MATCH(1, ("SQ"=TBL_ADD_03_Dates[Stage])*("Time"=TBL_ADD_03_Dates[Activity]),0))=0.5,"12:00 noon",IF(INDEX(TBL_ADD_03_Dates[Date], MATCH(1, ("SQ"=TBL_ADD_03_Dates[Stage])*("Time"=TBL_ADD_03_Dates[Activity]),0))&lt;0.5, CONCATENATE(HOUR(INDEX(TBL_ADD_03_Dates[Date], MATCH(1, ("SQ"=TBL_ADD_03_Dates[Stage])*("Time"=TBL_ADD_03_Dates[Activity]),0))), ":00 am"),CONCATENATE((HOUR(INDEX(TBL_ADD_03_Dates[Date], MATCH(1, ("SQ"=TBL_ADD_03_Dates[Stage])*("Time"=TBL_ADD_03_Dates[Activity]),0)))-12), ":00 pm")))</calculatedColumnFormula>
    </tableColumn>
    <tableColumn id="29" xr3:uid="{7833787B-B682-40B3-84E9-DA63084E5747}" name="Final_Advise_IntSV" dataDxfId="1097">
      <calculatedColumnFormula array="1">TEXT(INDEX(TBL_ADD_03_Dates[Date], MATCH(1, ("Final"=TBL_ADD_03_Dates[Stage])*("IntSV_Advise"=TBL_ADD_03_Dates[Activity]),0)), "d MMMM YYYY")</calculatedColumnFormula>
    </tableColumn>
    <tableColumn id="48" xr3:uid="{8E7B2773-8549-4571-82FA-8E0CA17AE918}" name="Final_IntSV_Start" dataDxfId="1096">
      <calculatedColumnFormula array="1">INDEX(TBL_ADD_03_Dates[Date], MATCH(1, ("Final"=TBL_ADD_03_Dates[Stage])*("IntSV_Start"=TBL_ADD_03_Dates[Activity]),0))</calculatedColumnFormula>
    </tableColumn>
    <tableColumn id="53" xr3:uid="{06F50BFE-0CF8-4B25-8827-928C5C5EA69A}" name="Final_IntSV_End" dataDxfId="1095">
      <calculatedColumnFormula array="1">INDEX(TBL_ADD_03_Dates[Date], MATCH(1, ("Final"=TBL_ADD_03_Dates[Stage])*("IntSV_End"=TBL_ADD_03_Dates[Activity]),0))</calculatedColumnFormula>
    </tableColumn>
    <tableColumn id="157" xr3:uid="{D1546E41-DDB1-4D48-A05A-11A26B57BCC0}" name="Final_IntSV_Dates" dataDxfId="1094">
      <calculatedColumnFormula>IF(TBL_DATA_00_Doc_Merge[[#This Row],[Final_IntSV_Start]]=TBL_DATA_00_Doc_Merge[[#This Row],[Final_IntSV_End]], CONCATENATE("on ", TEXT(TBL_DATA_00_Doc_Merge[[#This Row],[Final_IntSV_Start]], "DDDD"), " ", DAY(TBL_DATA_00_Doc_Merge[[#This Row],[Final_IntSV_Start]]),"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"")&lt;&gt;"", CONCATENATE("between ", TEXT(TBL_DATA_00_Doc_Merge[[#This Row],[Final_IntSV_Start]], "DDDD"), " ", DAY(TBL_DATA_00_Doc_Merge[[#This Row],[Final_IntSV_Start]]), " and ", TEXT(TBL_DATA_00_Doc_Merge[[#This Row],[Final_IntSV_End]], "DDDD"), " ", DAY(TBL_DATA_00_Doc_Merge[[#This Row],[Final_IntSV_End]]),"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IF(YEAR(TBL_DATA_00_Doc_Merge[[#This Row],[Final_IntSV_Start]])=YEAR(TBL_DATA_00_Doc_Merge[[#This Row],[Final_IntSV_End]]), CONCATENATE("between ", TEXT(TBL_DATA_00_Doc_Merge[[#This Row],[Final_IntSV_Start]], "DDDD"), " ", DAY(TBL_DATA_00_Doc_Merge[[#This Row],[Final_IntSV_Start]]), " ", TEXT(TBL_DATA_00_Doc_Merge[[#This Row],[Final_IntSV_Start]], "MMMM"), " and ", TEXT(TBL_DATA_00_Doc_Merge[[#This Row],[Final_IntSV_End]], "DDDD"), " ", DAY(TBL_DATA_00_Doc_Merge[[#This Row],[Final_IntSV_End]])," ",  TEXT(TBL_DATA_00_Doc_Merge[[#This Row],[Final_IntSV_End]], "MMMM")," ",YEAR(TBL_DATA_00_Doc_Merge[[#This Row],[Final_IntSV_End]])), CONCATENATE("between ", TEXT(TBL_DATA_00_Doc_Merge[[#This Row],[Final_IntSV_Start]], "DDDD"), " ", DAY(TBL_DATA_00_Doc_Merge[[#This Row],[Final_IntSV_Start]]), " ", TEXT(TBL_DATA_00_Doc_Merge[[#This Row],[Final_IntSV_Start]], "MMMM")," ", YEAR(TBL_DATA_00_Doc_Merge[[#This Row],[Final_IntSV_Start]]), " and ", TEXT(TBL_DATA_00_Doc_Merge[[#This Row],[Final_IntSV_End]], "DDDD"), " ", DAY(TBL_DATA_00_Doc_Merge[[#This Row],[Final_IntSV_End]])," ",  TEXT(TBL_DATA_00_Doc_Merge[[#This Row],[Final_IntSV_End]], "MMMM")," ",YEAR(TBL_DATA_00_Doc_Merge[[#This Row],[Final_IntSV_End]])))))</calculatedColumnFormula>
    </tableColumn>
    <tableColumn id="47" xr3:uid="{00000000-0010-0000-0200-00002F000000}" name="Contract_award" dataDxfId="1093">
      <calculatedColumnFormula array="1">INDEX(TBL_ADD_03_Dates[Date], MATCH(1, ("Award"=TBL_ADD_03_Dates[Stage])*("Award"=TBL_ADD_03_Dates[Activity]),0))</calculatedColumnFormula>
    </tableColumn>
    <tableColumn id="17" xr3:uid="{5733C033-BBC8-4320-91AB-01B38D0DB699}" name="Uplift" dataDxfId="1092">
      <calculatedColumnFormula>'Project Info'!$K$45</calculatedColumnFormula>
    </tableColumn>
    <tableColumn id="52" xr3:uid="{00000000-0010-0000-0200-000034000000}" name="Uplift_Type" dataDxfId="1091">
      <calculatedColumnFormula>IF(TBL_DATA_00_Doc_Merge[[#This Row],[Uplift]]="No","N/A", IF('Project Info'!$L$46&lt;&gt;"", 'Project Info'!$L$46, 'Project Info'!$K$46))</calculatedColumnFormula>
    </tableColumn>
    <tableColumn id="58" xr3:uid="{00000000-0010-0000-0200-00003A000000}" name="Uplift_date" dataDxfId="1090" dataCellStyle="Currency">
      <calculatedColumnFormula array="1">IF(TBL_DATA_00_Doc_Merge[[#This Row],[Uplift]]="No", "N/A", INDEX(TBL_ADD_03_Dates[Date], MATCH(1, ("Uplift"=TBL_ADD_03_Dates[Stage])*("Uplift"=TBL_ADD_03_Dates[Activity]),0)))</calculatedColumnFormula>
    </tableColumn>
    <tableColumn id="59" xr3:uid="{00000000-0010-0000-0200-00003B000000}" name="Price_firm" dataDxfId="1089">
      <calculatedColumnFormula>IF(TBL_DATA_00_Doc_Merge[[#This Row],[Uplift_date]]="N/A", CONCATENATE("the end of the ", TBL_DATA_00_Doc_Merge[[#This Row],[contract_or_fw]]), TEXT(TBL_DATA_00_Doc_Merge[[#This Row],[Uplift_date]]-1, "d MMMM yyyy"))</calculatedColumnFormula>
    </tableColumn>
    <tableColumn id="28" xr3:uid="{00000000-0010-0000-0200-00001C000000}" name="ESP?" dataDxfId="1088">
      <calculatedColumnFormula>IF(#REF!="Section not applicable",  'Project Info'!$K$42,  "Yes")</calculatedColumnFormula>
    </tableColumn>
    <tableColumn id="181" xr3:uid="{492E5C2A-B2E1-4076-90C4-8C367C9273F3}" name="Supplier_Name" dataDxfId="1087">
      <calculatedColumnFormula>IF(Response!$A$2&lt;&gt;"", Response!$A$2, "")</calculatedColumnFormula>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9553043F-BED9-4669-9048-C0CC168EECF6}" name="TBL_RES_05_PAS_C3_Sec" displayName="TBL_RES_05_PAS_C3_Sec" ref="A16:AH19" totalsRowShown="0" headerRowDxfId="249" dataDxfId="248">
  <autoFilter ref="A16:AH19" xr:uid="{E3CF76F3-844C-4A7A-BD4E-B5CA5EF28573}"/>
  <tableColumns count="34">
    <tableColumn id="47" xr3:uid="{023D66EA-AB49-4DFE-A36E-00B0FB1208D1}" name="C3_D&amp;S_Complete?" dataDxfId="247">
      <calculatedColumnFormula>#REF!</calculatedColumnFormula>
    </tableColumn>
    <tableColumn id="3" xr3:uid="{A9797D6C-009D-4EDD-B768-7522E16654EA}" name="O3_QP1" dataDxfId="246"/>
    <tableColumn id="15" xr3:uid="{6448D318-3900-4FF9-ADF1-2AB5C66E80FA}" name="C3_QD1_1_a" dataDxfId="245"/>
    <tableColumn id="14" xr3:uid="{41279E8D-3DEB-463D-839A-74A264B3E1D8}" name="C3_QD1_1_b" dataDxfId="244"/>
    <tableColumn id="16" xr3:uid="{4313CFD6-1096-4C44-9E50-3665B8195281}" name="C3_QD1_1_c" dataDxfId="243"/>
    <tableColumn id="13" xr3:uid="{44FDC21B-2208-4687-839F-BDB853FA0195}" name="C3_QD1_1_d" dataDxfId="242"/>
    <tableColumn id="48" xr3:uid="{0BEB02CE-D1C1-4E28-9EF4-6D5C73768864}" name="C3_QD1_1_e" dataDxfId="241"/>
    <tableColumn id="12" xr3:uid="{7EA0E589-AD3E-4FFF-880C-3631BB1CABDE}" name="C3_QD1_1_f" dataDxfId="240"/>
    <tableColumn id="10" xr3:uid="{E55D3942-64FD-4B5E-AFC0-DD6CC1644AF9}" name="C3_QD1_1_g_i" dataDxfId="239"/>
    <tableColumn id="9" xr3:uid="{A7A18D9B-3C64-496B-B698-B3C3BD500898}" name="C3_QD1_1_g_ii" dataDxfId="238"/>
    <tableColumn id="1" xr3:uid="{D9A94E14-91C9-4F2B-80CA-59FCA1435401}" name="C3_QD1_1_g_iii" dataDxfId="237"/>
    <tableColumn id="2" xr3:uid="{996BCBFB-384B-41AB-8229-7A2AE047A4F2}" name="C3_QD1_1_g_iv" dataDxfId="236"/>
    <tableColumn id="4" xr3:uid="{16BBA5F5-3427-4223-82D6-9B1A4249B239}" name="C3_QD1_1_g_v" dataDxfId="235"/>
    <tableColumn id="5" xr3:uid="{89984BB8-A477-4DB7-9F7F-F412CFE8EAA9}" name="C3_QD1_1_g_vi" dataDxfId="234"/>
    <tableColumn id="6" xr3:uid="{75C21148-C170-457C-8AC3-676FAFC8E5B8}" name="C3_QD1_1_g_vii" dataDxfId="233"/>
    <tableColumn id="7" xr3:uid="{D05E74E9-F4C5-4448-B4A1-A3E37B937290}" name="C3_QD1_1_g_viii" dataDxfId="232"/>
    <tableColumn id="8" xr3:uid="{EDBAB565-388A-4686-B996-132584CDEE0A}" name="C3_QD1_1_g_ix" dataDxfId="231"/>
    <tableColumn id="17" xr3:uid="{6445CA7A-A50E-4653-B70C-DE883549C689}" name="C3_QD1_1_g_x" dataDxfId="230"/>
    <tableColumn id="18" xr3:uid="{3C6CCBFE-C50E-4CF0-BF8E-207B10BE6579}" name="C3_QD1_1_g_xi" dataDxfId="229"/>
    <tableColumn id="19" xr3:uid="{0D83EF96-9E1D-4483-880D-27A6B6BE0D1B}" name="C3_QD1_1_g_xii" dataDxfId="228"/>
    <tableColumn id="20" xr3:uid="{DA9E4899-93F0-4B99-99D8-B4512B859C9B}" name="C3_QD1_1_h" dataDxfId="227"/>
    <tableColumn id="21" xr3:uid="{92E7B78F-E57F-4C19-9D25-9EB6BA1ABBAC}" name="C3_QD1_1_i" dataDxfId="226"/>
    <tableColumn id="22" xr3:uid="{7D475E29-388A-4233-B436-61FC2052EE21}" name="C3_QD1_1_j" dataDxfId="225"/>
    <tableColumn id="23" xr3:uid="{7F9F3E7B-20D4-41DB-85D7-2E08F9E07F03}" name="C3_QD1_1_k" dataDxfId="224"/>
    <tableColumn id="24" xr3:uid="{1183DBD0-47CD-4551-ABDC-BC64F32E5A34}" name="C3_QD1_1_l" dataDxfId="223"/>
    <tableColumn id="25" xr3:uid="{53DCBF4B-BA61-46AB-82EA-58D0ABD2CF86}" name="C3_QD2" dataDxfId="222"/>
    <tableColumn id="26" xr3:uid="{2DF1DA98-667E-46F0-A63C-BD171F381B22}" name="C3_QD2_1_a" dataDxfId="221"/>
    <tableColumn id="27" xr3:uid="{D4D1135C-5FFA-4F06-989D-B9F066E11850}" name="C3_QD2_1_b" dataDxfId="220"/>
    <tableColumn id="28" xr3:uid="{133F3AAC-8885-4C35-B045-CA43656B6473}" name="C3_QD2_1_c" dataDxfId="219"/>
    <tableColumn id="29" xr3:uid="{38686A74-99C8-4A3C-AB07-11C602D40D70}" name="C3_QD2_2_a" dataDxfId="218"/>
    <tableColumn id="30" xr3:uid="{B104BFFB-F16F-4517-9604-2CC471631A26}" name="C3_QD2_2_b" dataDxfId="217"/>
    <tableColumn id="31" xr3:uid="{F3E2CD16-0863-4C17-85B7-7CFD5D85F24B}" name="C3_QD2_2_c" dataDxfId="216"/>
    <tableColumn id="32" xr3:uid="{A3AB5581-ED0B-47A7-805F-60CFFF80B297}" name="C3_QD2_2_d" dataDxfId="215"/>
    <tableColumn id="33" xr3:uid="{A05EA5E9-6EAD-43E5-9A88-BF28B2C25D84}" name="C3_QD2_2_e" dataDxfId="214"/>
  </tableColumns>
  <tableStyleInfo name="TableStyleLight9"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E5128357-7DDD-4CDC-913D-AF1A31C205A9}" name="TBL_RES_05_PAS_C3_Private" displayName="TBL_RES_05_PAS_C3_Private" ref="A21:D24" totalsRowShown="0" headerRowDxfId="213" dataDxfId="212">
  <autoFilter ref="A21:D24" xr:uid="{6EA291B3-1541-4B19-B976-7918A6FE01D6}"/>
  <tableColumns count="4">
    <tableColumn id="47" xr3:uid="{20376D7E-B53C-47AB-A443-EE288D868A15}" name="C3_Private_Complete?" dataDxfId="211">
      <calculatedColumnFormula>#REF!</calculatedColumnFormula>
    </tableColumn>
    <tableColumn id="3" xr3:uid="{56CF2FA8-45D7-4810-BED5-05295A88E77B}" name="C3_Q1" dataDxfId="210"/>
    <tableColumn id="15" xr3:uid="{CEFBB198-1CAC-4768-B603-6D16CFC5C67E}" name="C3_Q2" dataDxfId="209"/>
    <tableColumn id="14" xr3:uid="{6EF89210-98CA-48BA-9BB9-38A07D77BE6B}" name="C3_Q3" dataDxfId="208"/>
  </tableColumns>
  <tableStyleInfo name="TableStyleLight9"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1" xr:uid="{27BAB718-3B71-4DEE-92D4-826A5D913DC3}" name="TBL_RES_05_PAS_O2" displayName="TBL_RES_05_PAS_O2" ref="A36:G39" totalsRowShown="0" headerRowDxfId="207" dataDxfId="206">
  <autoFilter ref="A36:G39" xr:uid="{2FE55505-4A53-4B18-A2D4-8D1D423741FE}"/>
  <tableColumns count="7">
    <tableColumn id="47" xr3:uid="{1BCD3E3E-53A4-42C0-80AE-60462B9DCD55}" name="O2_Complete?" dataDxfId="205">
      <calculatedColumnFormula>#REF!</calculatedColumnFormula>
    </tableColumn>
    <tableColumn id="3" xr3:uid="{9B8AC3F2-23C2-4D10-A03C-FD25D4A244A1}" name="O2_Q1" dataDxfId="204"/>
    <tableColumn id="15" xr3:uid="{86426CAD-51BB-4810-9045-26ACE2C103D1}" name="O2_Q2" dataDxfId="203"/>
    <tableColumn id="14" xr3:uid="{2C49B236-66A2-45B8-9D55-88763B01708F}" name="O2_Q3" dataDxfId="202"/>
    <tableColumn id="16" xr3:uid="{BAC56258-9306-4736-BDCF-ED1867FFB85A}" name="O2_Q4" dataDxfId="201"/>
    <tableColumn id="13" xr3:uid="{48863EC9-BDC8-445C-BB3C-50D7120F07BE}" name="O2_Q5" dataDxfId="200"/>
    <tableColumn id="48" xr3:uid="{AB921077-9CE5-46D9-8B33-54ECCC7A467E}" name="O2_Q6" dataDxfId="199"/>
  </tableColumns>
  <tableStyleInfo name="TableStyleLight9"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5" xr:uid="{F8D75622-0D4E-4EC0-9311-7475B67BAC0D}" name="TBL_RES_05_PAS_O3" displayName="TBL_RES_05_PAS_O3" ref="A41:G44" totalsRowShown="0" headerRowDxfId="198" dataDxfId="197">
  <autoFilter ref="A41:G44" xr:uid="{22B05552-0B68-4E53-8796-C2C553D754F7}"/>
  <tableColumns count="7">
    <tableColumn id="47" xr3:uid="{346E9C50-D882-4F0C-AD45-AB78F0984172}" name="O3_Complete?" dataDxfId="196">
      <calculatedColumnFormula>#REF!</calculatedColumnFormula>
    </tableColumn>
    <tableColumn id="3" xr3:uid="{34D5E710-57C1-4708-86FC-2470834FB5FE}" name="O3_Q1" dataDxfId="195"/>
    <tableColumn id="15" xr3:uid="{648894FD-F1FC-436C-914B-C18AB514656F}" name="O3_Q2" dataDxfId="194"/>
    <tableColumn id="14" xr3:uid="{0D83DFDE-F635-4A51-9B4F-CF415DEEB2B5}" name="O3_Q3" dataDxfId="193"/>
    <tableColumn id="16" xr3:uid="{7E253BB1-51F7-42DB-BB0A-639129733A49}" name="O3_Q4" dataDxfId="192"/>
    <tableColumn id="13" xr3:uid="{6E0FF401-44DE-4C50-ABA7-D5652BC89C6A}" name="O3_Q5" dataDxfId="191"/>
    <tableColumn id="48" xr3:uid="{74111CC1-81FB-472D-A647-10D1D0026781}" name="O3_Q6" dataDxfId="190"/>
  </tableColumns>
  <tableStyleInfo name="TableStyleLight9"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E58DF1EA-638A-4E38-8B7A-6676A7CB5022}" name="TBL_RES_05_PAS_O4" displayName="TBL_RES_05_PAS_O4" ref="A46:F49" totalsRowShown="0" headerRowDxfId="189" dataDxfId="188">
  <autoFilter ref="A46:F49" xr:uid="{5717C895-6C7C-4E1C-B086-721AD0DCE60C}"/>
  <tableColumns count="6">
    <tableColumn id="47" xr3:uid="{BF31A291-F410-4C5D-9BA5-3963F398A08F}" name="O4_Complete?" dataDxfId="187">
      <calculatedColumnFormula>#REF!</calculatedColumnFormula>
    </tableColumn>
    <tableColumn id="3" xr3:uid="{37530303-A69F-4DA9-B72D-124B5E3C4DB1}" name="O4_Q1" dataDxfId="186"/>
    <tableColumn id="15" xr3:uid="{F2D2443E-E760-414D-B3A8-B09803DD939D}" name="O4_Q2" dataDxfId="185"/>
    <tableColumn id="14" xr3:uid="{11A9C70A-C8E4-49B9-BE0C-8DE45D0A6500}" name="O4_Q3" dataDxfId="184"/>
    <tableColumn id="16" xr3:uid="{431385A2-D666-4B15-AADA-E3DB22805531}" name="O4_Q4" dataDxfId="183"/>
    <tableColumn id="13" xr3:uid="{A2D341B4-981F-4CC5-88F0-DDDEA94E2BFD}" name="O4_Q5" dataDxfId="182"/>
  </tableColumns>
  <tableStyleInfo name="TableStyleLight9"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17BEAC34-5CAD-42BC-8C37-96D1EDB34B89}" name="TBL_RES_06_Output" displayName="TBL_RES_06_Output" ref="A1:E51" totalsRowShown="0" headerRowDxfId="181" dataDxfId="180">
  <autoFilter ref="A1:E51" xr:uid="{81F3B1B3-8DEB-45E8-B6E1-B731CEBAD392}"/>
  <tableColumns count="5">
    <tableColumn id="1" xr3:uid="{4DE47490-AED3-4B35-AAFA-804BC2BD868A}" name="Section" dataDxfId="179"/>
    <tableColumn id="2" xr3:uid="{98CFCED0-A899-4585-B6B1-1D065DE29437}" name="Ref" dataDxfId="178"/>
    <tableColumn id="3" xr3:uid="{3A206124-804B-49AD-B34D-CE33AE4B44D3}" name="Description" dataDxfId="177"/>
    <tableColumn id="5" xr3:uid="{4408394B-B46E-4A7E-BA20-99B87DBED8CE}" name="UoM" dataDxfId="176"/>
    <tableColumn id="4" xr3:uid="{22577F05-CC93-4449-A5C4-DE233B9DE9E4}" name="Rate" dataDxfId="175">
      <calculatedColumnFormula array="1">ROUND(INDEX(TBL_PF_1[Figure for evaluation purposes], MATCH(1, (TBL_RES_06_Output[[#This Row],[Ref]]=TBL_PF_1[Ref])*(TBL_RES_06_Output[[#This Row],[Description]]=TBL_PF_1[Description]), 0)), 2)</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BL_REF_01_Number" displayName="TBL_REF_01_Number" ref="A1:B12" totalsRowShown="0" headerRowDxfId="1086" dataDxfId="1084" headerRowBorderDxfId="1085" tableBorderDxfId="1083" totalsRowBorderDxfId="1082">
  <autoFilter ref="A1:B12" xr:uid="{00000000-0009-0000-0100-000004000000}"/>
  <sortState xmlns:xlrd2="http://schemas.microsoft.com/office/spreadsheetml/2017/richdata2" ref="A2:B11">
    <sortCondition ref="A1:A11"/>
  </sortState>
  <tableColumns count="2">
    <tableColumn id="1" xr3:uid="{00000000-0010-0000-0300-000001000000}" name="Number" dataDxfId="1081"/>
    <tableColumn id="2" xr3:uid="{00000000-0010-0000-0300-000002000000}" name="Text" dataDxfId="1080"/>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1120E54D-98EF-433C-8A37-1142FC061CEC}" name="TBL_REF_02_Resources" displayName="TBL_REF_02_Resources" ref="A14:E28" totalsRowShown="0" headerRowDxfId="1079" dataDxfId="1077" headerRowBorderDxfId="1078" tableBorderDxfId="1076" totalsRowBorderDxfId="1075">
  <autoFilter ref="A14:E28" xr:uid="{1B8701F3-17D4-4082-97A8-40E29983E794}"/>
  <sortState xmlns:xlrd2="http://schemas.microsoft.com/office/spreadsheetml/2017/richdata2" ref="A15:B27">
    <sortCondition ref="A14:A27"/>
  </sortState>
  <tableColumns count="5">
    <tableColumn id="2" xr3:uid="{1202BB87-2D59-47DD-ADEA-ABF2488175B3}" name="LUp_Names" dataDxfId="1074"/>
    <tableColumn id="3" xr3:uid="{AD65750E-035F-45F2-B4E7-642B4442BD39}" name="Job_Title" dataDxfId="1073"/>
    <tableColumn id="6" xr3:uid="{738E402C-1335-4EE1-9100-B9381E7116EA}" name="Office" dataDxfId="1072"/>
    <tableColumn id="1" xr3:uid="{CF40489C-6A13-4C29-92F6-4FF2861B21CB}" name="Email" dataDxfId="1071"/>
    <tableColumn id="4" xr3:uid="{93A37033-DD91-4C03-B1CC-83E5CD3EB6F3}" name="Email_Cymru" dataDxfId="1070"/>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A19F5D99-1B60-4416-BF5C-B92993663948}" name="TBL_REF_04_Offices" displayName="TBL_REF_04_Offices" ref="A35:C40" totalsRowShown="0" headerRowDxfId="1069" dataDxfId="1067" headerRowBorderDxfId="1068" tableBorderDxfId="1066" totalsRowBorderDxfId="1065">
  <autoFilter ref="A35:C40" xr:uid="{F3F89A92-B35B-4486-8DDD-6F38940CDE3A}"/>
  <sortState xmlns:xlrd2="http://schemas.microsoft.com/office/spreadsheetml/2017/richdata2" ref="A36:C40">
    <sortCondition ref="A33:A38"/>
  </sortState>
  <tableColumns count="3">
    <tableColumn id="1" xr3:uid="{1670E562-0B91-4FE2-B914-BCFB4184DB3B}" name="LUp_Offices" dataDxfId="1064"/>
    <tableColumn id="2" xr3:uid="{2E3B5CA4-2FC9-43EE-82A0-604E56A37535}" name="Address" dataDxfId="1063"/>
    <tableColumn id="3" xr3:uid="{C58583D5-8B3E-4BA8-B77B-9AA5061EAC73}" name="Tel" dataDxfId="1062"/>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procurement@effefftee.co.uk" TargetMode="External"/></Relationships>
</file>

<file path=xl/worksheets/_rels/sheet10.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printerSettings" Target="../printerSettings/printerSettings13.bin"/><Relationship Id="rId1" Type="http://schemas.openxmlformats.org/officeDocument/2006/relationships/hyperlink" Target="https://ec.europa.eu/growth/smes/business-friendly-environment/sme-definition_en" TargetMode="External"/></Relationships>
</file>

<file path=xl/worksheets/_rels/sheet19.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table" Target="../tables/table22.xml"/><Relationship Id="rId3" Type="http://schemas.openxmlformats.org/officeDocument/2006/relationships/hyperlink" Target="https://www.gov.uk/government/uploads/system/uploads/attachment_data/file/551130/List_of_Mandatory_and_Discretionary_Exclusions.pdf" TargetMode="External"/><Relationship Id="rId7" Type="http://schemas.openxmlformats.org/officeDocument/2006/relationships/table" Target="../tables/table21.xml"/><Relationship Id="rId2" Type="http://schemas.openxmlformats.org/officeDocument/2006/relationships/hyperlink" Target="https://www.gov.uk/government/uploads/system/uploads/attachment_data/file/551130/List_of_Mandatory_and_Discretionary_Exclusions.pdf" TargetMode="External"/><Relationship Id="rId1" Type="http://schemas.openxmlformats.org/officeDocument/2006/relationships/hyperlink" Target="https://www.gov.uk/government/uploads/system/uploads/attachment_data/file/551130/List_of_Mandatory_and_Discretionary_Exclusions.pdf" TargetMode="External"/><Relationship Id="rId6" Type="http://schemas.openxmlformats.org/officeDocument/2006/relationships/table" Target="../tables/table20.xml"/><Relationship Id="rId5" Type="http://schemas.openxmlformats.org/officeDocument/2006/relationships/table" Target="../tables/table19.xml"/><Relationship Id="rId4"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table" Target="../tables/table23.xml"/><Relationship Id="rId1" Type="http://schemas.openxmlformats.org/officeDocument/2006/relationships/printerSettings" Target="../printerSettings/printerSettings16.bin"/><Relationship Id="rId6" Type="http://schemas.openxmlformats.org/officeDocument/2006/relationships/table" Target="../tables/table27.xml"/><Relationship Id="rId5" Type="http://schemas.openxmlformats.org/officeDocument/2006/relationships/table" Target="../tables/table26.xml"/><Relationship Id="rId4" Type="http://schemas.openxmlformats.org/officeDocument/2006/relationships/table" Target="../tables/table25.xml"/></Relationships>
</file>

<file path=xl/worksheets/_rels/sheet22.xml.rels><?xml version="1.0" encoding="UTF-8" standalone="yes"?>
<Relationships xmlns="http://schemas.openxmlformats.org/package/2006/relationships"><Relationship Id="rId3" Type="http://schemas.openxmlformats.org/officeDocument/2006/relationships/table" Target="../tables/table29.xml"/><Relationship Id="rId2" Type="http://schemas.openxmlformats.org/officeDocument/2006/relationships/table" Target="../tables/table28.xml"/><Relationship Id="rId1" Type="http://schemas.openxmlformats.org/officeDocument/2006/relationships/printerSettings" Target="../printerSettings/printerSettings17.bin"/><Relationship Id="rId5" Type="http://schemas.openxmlformats.org/officeDocument/2006/relationships/table" Target="../tables/table31.xml"/><Relationship Id="rId4" Type="http://schemas.openxmlformats.org/officeDocument/2006/relationships/table" Target="../tables/table30.xml"/></Relationships>
</file>

<file path=xl/worksheets/_rels/sheet23.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3" Type="http://schemas.openxmlformats.org/officeDocument/2006/relationships/table" Target="../tables/table33.xml"/><Relationship Id="rId2" Type="http://schemas.openxmlformats.org/officeDocument/2006/relationships/printerSettings" Target="../printerSettings/printerSettings19.bin"/><Relationship Id="rId1" Type="http://schemas.openxmlformats.org/officeDocument/2006/relationships/hyperlink" Target="http://eceuropaeu/environment/emas/index_Enhtm" TargetMode="External"/></Relationships>
</file>

<file path=xl/worksheets/_rels/sheet25.xml.rels><?xml version="1.0" encoding="UTF-8" standalone="yes"?>
<Relationships xmlns="http://schemas.openxmlformats.org/package/2006/relationships"><Relationship Id="rId2" Type="http://schemas.openxmlformats.org/officeDocument/2006/relationships/table" Target="../tables/table34.xml"/><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35.xml"/><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36.xml"/><Relationship Id="rId1" Type="http://schemas.openxmlformats.org/officeDocument/2006/relationships/printerSettings" Target="../printerSettings/printerSettings23.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37.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table" Target="../tables/table38.xml"/><Relationship Id="rId1" Type="http://schemas.openxmlformats.org/officeDocument/2006/relationships/printerSettings" Target="../printerSettings/printerSettings25.bin"/></Relationships>
</file>

<file path=xl/worksheets/_rels/sheet31.xml.rels><?xml version="1.0" encoding="UTF-8" standalone="yes"?>
<Relationships xmlns="http://schemas.openxmlformats.org/package/2006/relationships"><Relationship Id="rId3" Type="http://schemas.openxmlformats.org/officeDocument/2006/relationships/table" Target="../tables/table40.xml"/><Relationship Id="rId2" Type="http://schemas.openxmlformats.org/officeDocument/2006/relationships/table" Target="../tables/table39.xml"/><Relationship Id="rId1" Type="http://schemas.openxmlformats.org/officeDocument/2006/relationships/printerSettings" Target="../printerSettings/printerSettings26.bin"/></Relationships>
</file>

<file path=xl/worksheets/_rels/sheet32.xml.rels><?xml version="1.0" encoding="UTF-8" standalone="yes"?>
<Relationships xmlns="http://schemas.openxmlformats.org/package/2006/relationships"><Relationship Id="rId3" Type="http://schemas.openxmlformats.org/officeDocument/2006/relationships/table" Target="../tables/table42.xml"/><Relationship Id="rId2" Type="http://schemas.openxmlformats.org/officeDocument/2006/relationships/table" Target="../tables/table41.xml"/><Relationship Id="rId1" Type="http://schemas.openxmlformats.org/officeDocument/2006/relationships/printerSettings" Target="../printerSettings/printerSettings27.bin"/></Relationships>
</file>

<file path=xl/worksheets/_rels/sheet33.xml.rels><?xml version="1.0" encoding="UTF-8" standalone="yes"?>
<Relationships xmlns="http://schemas.openxmlformats.org/package/2006/relationships"><Relationship Id="rId3" Type="http://schemas.openxmlformats.org/officeDocument/2006/relationships/table" Target="../tables/table44.xml"/><Relationship Id="rId2" Type="http://schemas.openxmlformats.org/officeDocument/2006/relationships/table" Target="../tables/table43.xml"/><Relationship Id="rId1" Type="http://schemas.openxmlformats.org/officeDocument/2006/relationships/printerSettings" Target="../printerSettings/printerSettings28.bin"/></Relationships>
</file>

<file path=xl/worksheets/_rels/sheet34.xml.rels><?xml version="1.0" encoding="UTF-8" standalone="yes"?>
<Relationships xmlns="http://schemas.openxmlformats.org/package/2006/relationships"><Relationship Id="rId2" Type="http://schemas.openxmlformats.org/officeDocument/2006/relationships/table" Target="../tables/table45.xml"/><Relationship Id="rId1" Type="http://schemas.openxmlformats.org/officeDocument/2006/relationships/printerSettings" Target="../printerSettings/printerSettings29.bin"/></Relationships>
</file>

<file path=xl/worksheets/_rels/sheet35.xml.rels><?xml version="1.0" encoding="UTF-8" standalone="yes"?>
<Relationships xmlns="http://schemas.openxmlformats.org/package/2006/relationships"><Relationship Id="rId2" Type="http://schemas.openxmlformats.org/officeDocument/2006/relationships/table" Target="../tables/table46.xml"/><Relationship Id="rId1" Type="http://schemas.openxmlformats.org/officeDocument/2006/relationships/printerSettings" Target="../printerSettings/printerSettings30.bin"/></Relationships>
</file>

<file path=xl/worksheets/_rels/sheet36.xml.rels><?xml version="1.0" encoding="UTF-8" standalone="yes"?>
<Relationships xmlns="http://schemas.openxmlformats.org/package/2006/relationships"><Relationship Id="rId2" Type="http://schemas.openxmlformats.org/officeDocument/2006/relationships/table" Target="../tables/table47.xml"/><Relationship Id="rId1" Type="http://schemas.openxmlformats.org/officeDocument/2006/relationships/printerSettings" Target="../printerSettings/printerSettings31.bin"/></Relationships>
</file>

<file path=xl/worksheets/_rels/sheet37.xml.rels><?xml version="1.0" encoding="UTF-8" standalone="yes"?>
<Relationships xmlns="http://schemas.openxmlformats.org/package/2006/relationships"><Relationship Id="rId2" Type="http://schemas.openxmlformats.org/officeDocument/2006/relationships/table" Target="../tables/table48.xml"/><Relationship Id="rId1" Type="http://schemas.openxmlformats.org/officeDocument/2006/relationships/printerSettings" Target="../printerSettings/printerSettings32.bin"/></Relationships>
</file>

<file path=xl/worksheets/_rels/sheet38.xml.rels><?xml version="1.0" encoding="UTF-8" standalone="yes"?>
<Relationships xmlns="http://schemas.openxmlformats.org/package/2006/relationships"><Relationship Id="rId2" Type="http://schemas.openxmlformats.org/officeDocument/2006/relationships/table" Target="../tables/table49.xml"/><Relationship Id="rId1" Type="http://schemas.openxmlformats.org/officeDocument/2006/relationships/printerSettings" Target="../printerSettings/printerSettings33.bin"/></Relationships>
</file>

<file path=xl/worksheets/_rels/sheet39.xml.rels><?xml version="1.0" encoding="UTF-8" standalone="yes"?>
<Relationships xmlns="http://schemas.openxmlformats.org/package/2006/relationships"><Relationship Id="rId2" Type="http://schemas.openxmlformats.org/officeDocument/2006/relationships/table" Target="../tables/table50.x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table" Target="../tables/table53.xml"/><Relationship Id="rId2" Type="http://schemas.openxmlformats.org/officeDocument/2006/relationships/table" Target="../tables/table52.xml"/><Relationship Id="rId1" Type="http://schemas.openxmlformats.org/officeDocument/2006/relationships/table" Target="../tables/table51.xml"/><Relationship Id="rId4" Type="http://schemas.openxmlformats.org/officeDocument/2006/relationships/table" Target="../tables/table54.xml"/></Relationships>
</file>

<file path=xl/worksheets/_rels/sheet41.xml.rels><?xml version="1.0" encoding="UTF-8" standalone="yes"?>
<Relationships xmlns="http://schemas.openxmlformats.org/package/2006/relationships"><Relationship Id="rId8" Type="http://schemas.openxmlformats.org/officeDocument/2006/relationships/table" Target="../tables/table62.xml"/><Relationship Id="rId3" Type="http://schemas.openxmlformats.org/officeDocument/2006/relationships/table" Target="../tables/table57.xml"/><Relationship Id="rId7" Type="http://schemas.openxmlformats.org/officeDocument/2006/relationships/table" Target="../tables/table61.xml"/><Relationship Id="rId2" Type="http://schemas.openxmlformats.org/officeDocument/2006/relationships/table" Target="../tables/table56.xml"/><Relationship Id="rId1" Type="http://schemas.openxmlformats.org/officeDocument/2006/relationships/table" Target="../tables/table55.xml"/><Relationship Id="rId6" Type="http://schemas.openxmlformats.org/officeDocument/2006/relationships/table" Target="../tables/table60.xml"/><Relationship Id="rId5" Type="http://schemas.openxmlformats.org/officeDocument/2006/relationships/table" Target="../tables/table5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s>
</file>

<file path=xl/worksheets/_rels/sheet42.xml.rels><?xml version="1.0" encoding="UTF-8" standalone="yes"?>
<Relationships xmlns="http://schemas.openxmlformats.org/package/2006/relationships"><Relationship Id="rId1" Type="http://schemas.openxmlformats.org/officeDocument/2006/relationships/table" Target="../tables/table65.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8.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CF43B-BAC5-47AF-9E7E-2EF0B81565DC}">
  <sheetPr codeName="Sheet1"/>
  <dimension ref="A1:C25"/>
  <sheetViews>
    <sheetView view="pageLayout" topLeftCell="A22" zoomScaleNormal="100" workbookViewId="0">
      <selection activeCell="A21" sqref="A1:XFD21"/>
    </sheetView>
  </sheetViews>
  <sheetFormatPr defaultColWidth="8.6328125" defaultRowHeight="12.5"/>
  <cols>
    <col min="1" max="2" width="25.6328125" style="64" customWidth="1"/>
    <col min="3" max="3" width="9.6328125" style="64" customWidth="1"/>
    <col min="4" max="4" width="25.6328125" style="64" customWidth="1"/>
    <col min="5" max="16384" width="8.6328125" style="64"/>
  </cols>
  <sheetData>
    <row r="1" spans="1:2" ht="311.75" hidden="1" customHeight="1">
      <c r="A1" s="675" t="s">
        <v>2687</v>
      </c>
      <c r="B1" s="675"/>
    </row>
    <row r="2" spans="1:2" ht="25" hidden="1">
      <c r="A2" s="65" t="s">
        <v>442</v>
      </c>
    </row>
    <row r="3" spans="1:2" ht="50" hidden="1" customHeight="1">
      <c r="A3" s="675" t="str">
        <f t="array" ref="A3">INDEX(TBL_DATA_00_Doc_Merge[Client_Name], MATCH(1, (REF_Doc_Lot=TBL_DATA_00_Doc_Merge[Lot])*(REF_Job_No=TBL_DATA_00_Doc_Merge[Job_No]),0))</f>
        <v>Royal Borough of Greenwich</v>
      </c>
      <c r="B3" s="676"/>
    </row>
    <row r="4" spans="1:2" ht="25" hidden="1">
      <c r="A4" s="65" t="s">
        <v>443</v>
      </c>
    </row>
    <row r="5" spans="1:2" hidden="1">
      <c r="A5" s="66" t="str">
        <f t="array" ref="A5">INDEX(TBL_DATA_00_Doc_Merge[DOC_Author], MATCH(1, (REF_Doc_Lot=TBL_DATA_00_Doc_Merge[Lot])*(REF_Job_No=TBL_DATA_00_Doc_Merge[Job_No]),0))</f>
        <v>Julie Watts</v>
      </c>
    </row>
    <row r="6" spans="1:2" hidden="1">
      <c r="A6" s="64" t="s">
        <v>444</v>
      </c>
    </row>
    <row r="7" spans="1:2" hidden="1"/>
    <row r="8" spans="1:2" hidden="1">
      <c r="A8" s="66" t="str">
        <f t="array" ref="A8">CONCATENATE("Tel: ", INDEX(TBL_DATA_00_Doc_Merge[DOC_No], MATCH(1, (REF_Doc_Lot=TBL_DATA_00_Doc_Merge[Lot])*(REF_Job_No=TBL_DATA_00_Doc_Merge[Job_No]),0)))</f>
        <v>Tel: 01689 885 080</v>
      </c>
    </row>
    <row r="9" spans="1:2" hidden="1">
      <c r="A9" s="84" t="s">
        <v>445</v>
      </c>
    </row>
    <row r="10" spans="1:2" hidden="1">
      <c r="A10" s="66"/>
    </row>
    <row r="11" spans="1:2" hidden="1"/>
    <row r="12" spans="1:2" hidden="1"/>
    <row r="13" spans="1:2" hidden="1"/>
    <row r="14" spans="1:2" hidden="1"/>
    <row r="15" spans="1:2" hidden="1"/>
    <row r="16" spans="1:2" hidden="1"/>
    <row r="17" spans="1:3" hidden="1">
      <c r="A17" s="66" t="str">
        <f ca="1">CONCATENATE("© Faithorn Farrell Timms LLP published ",YEAR(TODAY()))</f>
        <v>© Faithorn Farrell Timms LLP published 2025</v>
      </c>
    </row>
    <row r="18" spans="1:3" hidden="1"/>
    <row r="19" spans="1:3" hidden="1"/>
    <row r="20" spans="1:3" hidden="1"/>
    <row r="21" spans="1:3" hidden="1"/>
    <row r="25" spans="1:3" ht="23.75" customHeight="1">
      <c r="A25" s="85"/>
      <c r="B25" s="677"/>
      <c r="C25" s="677"/>
    </row>
  </sheetData>
  <sheetProtection algorithmName="SHA-512" hashValue="4B4w19XnRoW8ixxWus4IKU556EuyDOW3aicUvaSkeZ9TDdF4W9JimOxeA2QJ/jEzHZBu8lt8AosrErBCK7Ju7g==" saltValue="GtrNpK7D+dnJBPFgyeqVnA==" spinCount="100000" sheet="1" objects="1" scenarios="1"/>
  <mergeCells count="3">
    <mergeCell ref="A1:B1"/>
    <mergeCell ref="A3:B3"/>
    <mergeCell ref="B25:C25"/>
  </mergeCells>
  <hyperlinks>
    <hyperlink ref="A9" r:id="rId1" xr:uid="{B4C6595E-3CE7-4896-8814-3814D455E30A}"/>
  </hyperlinks>
  <pageMargins left="0.78740157480314965" right="0.78740157480314965" top="1.7716535433070868" bottom="0.39370078740157483" header="0.39370078740157483" footer="0"/>
  <pageSetup paperSize="9" orientation="portrait" r:id="rId2"/>
  <headerFooter>
    <oddHeader>&amp;L
&amp;G&amp;R&amp;16
&amp;G</oddHeader>
  </headerFooter>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E4928-60DE-4B1B-BCF9-CEAD6890BCDF}">
  <sheetPr codeName="Sheet12"/>
  <dimension ref="A1:S7"/>
  <sheetViews>
    <sheetView topLeftCell="A8" workbookViewId="0">
      <selection activeCell="A7" sqref="A1:XFD7"/>
    </sheetView>
  </sheetViews>
  <sheetFormatPr defaultRowHeight="12.5"/>
  <cols>
    <col min="1" max="1" width="6" style="315" bestFit="1" customWidth="1"/>
    <col min="2" max="2" width="6.453125" style="315" bestFit="1" customWidth="1"/>
    <col min="3" max="3" width="12" bestFit="1" customWidth="1"/>
    <col min="4" max="4" width="19.6328125" customWidth="1"/>
    <col min="5" max="5" width="38.36328125" customWidth="1"/>
    <col min="6" max="6" width="13.36328125" bestFit="1" customWidth="1"/>
    <col min="7" max="7" width="11.453125" bestFit="1" customWidth="1"/>
    <col min="8" max="8" width="15.36328125" bestFit="1" customWidth="1"/>
    <col min="9" max="9" width="12.453125" bestFit="1" customWidth="1"/>
    <col min="10" max="11" width="18.90625" customWidth="1"/>
    <col min="12" max="19" width="12.6328125" customWidth="1"/>
  </cols>
  <sheetData>
    <row r="1" spans="1:19" hidden="1">
      <c r="A1" s="407" t="s">
        <v>320</v>
      </c>
      <c r="B1" s="387" t="s">
        <v>345</v>
      </c>
      <c r="C1" s="383" t="s">
        <v>324</v>
      </c>
      <c r="D1" s="383" t="s">
        <v>148</v>
      </c>
      <c r="E1" s="383" t="s">
        <v>91</v>
      </c>
      <c r="F1" s="383" t="s">
        <v>1986</v>
      </c>
      <c r="G1" s="383" t="s">
        <v>1987</v>
      </c>
      <c r="H1" s="383" t="s">
        <v>1985</v>
      </c>
      <c r="I1" s="383" t="s">
        <v>325</v>
      </c>
      <c r="J1" s="383" t="s">
        <v>327</v>
      </c>
      <c r="K1" s="383" t="s">
        <v>326</v>
      </c>
      <c r="L1" s="383" t="s">
        <v>229</v>
      </c>
      <c r="M1" s="383" t="s">
        <v>231</v>
      </c>
      <c r="N1" s="383" t="s">
        <v>581</v>
      </c>
      <c r="O1" s="383" t="s">
        <v>582</v>
      </c>
      <c r="P1" s="383" t="s">
        <v>1798</v>
      </c>
      <c r="Q1" s="383" t="s">
        <v>1799</v>
      </c>
      <c r="R1" s="383" t="s">
        <v>328</v>
      </c>
      <c r="S1" s="388" t="s">
        <v>329</v>
      </c>
    </row>
    <row r="2" spans="1:19" hidden="1">
      <c r="A2" s="410">
        <v>0</v>
      </c>
      <c r="B2" s="408" t="s">
        <v>1800</v>
      </c>
      <c r="C2" s="373" t="str">
        <f>IF(OR(AND(REF_Lotted="No", TBL_DATA_01_Lot_Info[[#This Row],[No]]=0), AND(REF_Lotted="Yes", REF_No_Lots&gt;=TBL_DATA_01_Lot_Info[[#This Row],[No]])), "Yes", "No")</f>
        <v>Yes</v>
      </c>
      <c r="D2" s="408" t="str">
        <f t="array" ref="D2">IFERROR(IF(TBL_DATA_01_Lot_Info[[#This Row],[Include?]]="Yes", IF(INDEX(TBL_ADD_02_Project_Info[Response], MATCH(1, (TBL_ADD_02_Project_Info[Lot]=TBL_DATA_01_Lot_Info[[#This Row],[Lot]])*(TBL_ADD_02_Project_Info[Ref]=D$1), 0))&lt;&gt;"", INDEX(TBL_ADD_02_Project_Info[Response], MATCH(1, (TBL_ADD_02_Project_Info[Lot]=TBL_DATA_01_Lot_Info[[#This Row],[Lot]])*(TBL_ADD_02_Project_Info[Ref]=D$1), 0)), ""), "N/A"), "N/A")</f>
        <v>N/A</v>
      </c>
      <c r="E2" s="408" t="str">
        <f t="array" ref="E2">IFERROR(IF(TBL_DATA_01_Lot_Info[[#This Row],[Include?]]="Yes", IF(INDEX(TBL_ADD_02_Project_Info[Response], MATCH(1, (TBL_ADD_02_Project_Info[Lot]=TBL_DATA_01_Lot_Info[[#This Row],[Lot]])*(TBL_ADD_02_Project_Info[Ref]=E$1), 0))&lt;&gt;"", INDEX(TBL_ADD_02_Project_Info[Response], MATCH(1, (TBL_ADD_02_Project_Info[Lot]=TBL_DATA_01_Lot_Info[[#This Row],[Lot]])*(TBL_ADD_02_Project_Info[Ref]=E$1), 0)), ""), "N/A"), "N/A")</f>
        <v>major and responsve repairs and void refurbishment works</v>
      </c>
      <c r="F2" s="408" t="str">
        <f t="array" ref="F2">IFERROR(IF(TBL_DATA_01_Lot_Info[[#This Row],[Include?]]="Yes", IF(INDEX(TBL_ADD_02_Project_Info[Response], MATCH(1, (TBL_ADD_02_Project_Info[Lot]=TBL_DATA_01_Lot_Info[[#This Row],[Lot]])*(TBL_ADD_02_Project_Info[Ref]=F$1), 0))&lt;&gt;"", INDEX(TBL_ADD_02_Project_Info[Response], MATCH(1, (TBL_ADD_02_Project_Info[Lot]=TBL_DATA_01_Lot_Info[[#This Row],[Lot]])*(TBL_ADD_02_Project_Info[Ref]=F$1), 0)), ""), "N/A"), "N/A")</f>
        <v>approximately</v>
      </c>
      <c r="G2" s="414">
        <f t="array" ref="G2">IFERROR(IF(TBL_DATA_01_Lot_Info[[#This Row],[Include?]]="Yes", IF(INDEX(TBL_ADD_02_Project_Info[Response], MATCH(1, (TBL_ADD_02_Project_Info[Lot]=TBL_DATA_01_Lot_Info[[#This Row],[Lot]])*(TBL_ADD_02_Project_Info[Ref]=G$1), 0))&lt;&gt;"", INDEX(TBL_ADD_02_Project_Info[Response], MATCH(1, (TBL_ADD_02_Project_Info[Lot]=TBL_DATA_01_Lot_Info[[#This Row],[Lot]])*(TBL_ADD_02_Project_Info[Ref]=G$1), 0)), ""), "N/A"), "N/A")</f>
        <v>20500</v>
      </c>
      <c r="H2" s="408" t="str">
        <f t="array" ref="H2">IFERROR(IF(TBL_DATA_01_Lot_Info[[#This Row],[Include?]]="Yes", IF(INDEX(TBL_ADD_02_Project_Info[Response], MATCH(1, (TBL_ADD_02_Project_Info[Lot]=TBL_DATA_01_Lot_Info[[#This Row],[Lot]])*(TBL_ADD_02_Project_Info[Ref]=H$1), 0))&lt;&gt;"", INDEX(TBL_ADD_02_Project_Info[Response], MATCH(1, (TBL_ADD_02_Project_Info[Lot]=TBL_DATA_01_Lot_Info[[#This Row],[Lot]])*(TBL_ADD_02_Project_Info[Ref]=H$1), 0)), ""), "N/A"), "N/A")</f>
        <v>properties</v>
      </c>
      <c r="I2" s="408" t="str">
        <f t="array" ref="I2">IFERROR(IF(TBL_DATA_01_Lot_Info[[#This Row],[Include?]]="Yes", IF(INDEX(TBL_ADD_02_Project_Info[Response], MATCH(1, (TBL_ADD_02_Project_Info[Lot]=TBL_DATA_01_Lot_Info[[#This Row],[Lot]])*(TBL_ADD_02_Project_Info[Ref]=I$1), 0))&lt;&gt;"", INDEX(TBL_ADD_02_Project_Info[Response], MATCH(1, (TBL_ADD_02_Project_Info[Lot]=TBL_DATA_01_Lot_Info[[#This Row],[Lot]])*(TBL_ADD_02_Project_Info[Ref]=I$1), 0)), ""), "N/A"), "N/A")</f>
        <v>Single figure</v>
      </c>
      <c r="J2" s="412" t="str">
        <f t="array" ref="J2">IFERROR(IF(TBL_DATA_01_Lot_Info[[#This Row],[Include?]]="Yes", IF(INDEX(TBL_ADD_02_Project_Info[Response], MATCH(1, (TBL_ADD_02_Project_Info[Lot]=TBL_DATA_01_Lot_Info[[#This Row],[Lot]])*(TBL_ADD_02_Project_Info[Ref]=J$1), 0))&lt;&gt;"", INDEX(TBL_ADD_02_Project_Info[Response], MATCH(1, (TBL_ADD_02_Project_Info[Lot]=TBL_DATA_01_Lot_Info[[#This Row],[Lot]])*(TBL_ADD_02_Project_Info[Ref]=J$1), 0)), ""), "N/A"), "N/A")</f>
        <v/>
      </c>
      <c r="K2" s="412">
        <f t="array" ref="K2">IFERROR(IF(TBL_DATA_01_Lot_Info[[#This Row],[Include?]]="Yes", IF(INDEX(TBL_ADD_02_Project_Info[Response], MATCH(1, (TBL_ADD_02_Project_Info[Lot]=TBL_DATA_01_Lot_Info[[#This Row],[Lot]])*(TBL_ADD_02_Project_Info[Ref]=K$1), 0))&lt;&gt;"", INDEX(TBL_ADD_02_Project_Info[Response], MATCH(1, (TBL_ADD_02_Project_Info[Lot]=TBL_DATA_01_Lot_Info[[#This Row],[Lot]])*(TBL_ADD_02_Project_Info[Ref]=K$1), 0)), ""), "N/A"), "N/A")</f>
        <v>56000000</v>
      </c>
      <c r="L2" s="413" t="str">
        <f t="array" ref="L2">IFERROR(IF(TBL_DATA_01_Lot_Info[[#This Row],[Include?]]="Yes", IF(INDEX(TBL_ADD_02_Project_Info[Response], MATCH(1, (TBL_ADD_02_Project_Info[Lot]=TBL_DATA_01_Lot_Info[[#This Row],[Lot]])*(TBL_ADD_02_Project_Info[Ref]=L$1), 0))&lt;&gt;"", INDEX(TBL_ADD_02_Project_Info[Response], MATCH(1, (TBL_ADD_02_Project_Info[Lot]=TBL_DATA_01_Lot_Info[[#This Row],[Lot]])*(TBL_ADD_02_Project_Info[Ref]=L$1), 0)), ""), "N/A"), "N/A")</f>
        <v/>
      </c>
      <c r="M2" s="413" t="str">
        <f t="array" ref="M2">IFERROR(IF(TBL_DATA_01_Lot_Info[[#This Row],[Include?]]="Yes", IF(INDEX(TBL_ADD_02_Project_Info[Response], MATCH(1, (TBL_ADD_02_Project_Info[Lot]=TBL_DATA_01_Lot_Info[[#This Row],[Lot]])*(TBL_ADD_02_Project_Info[Ref]=M$1), 0))&lt;&gt;"", INDEX(TBL_ADD_02_Project_Info[Response], MATCH(1, (TBL_ADD_02_Project_Info[Lot]=TBL_DATA_01_Lot_Info[[#This Row],[Lot]])*(TBL_ADD_02_Project_Info[Ref]=M$1), 0)), ""), "N/A"), "N/A")</f>
        <v/>
      </c>
      <c r="N2" s="413" t="str">
        <f t="array" ref="N2">IFERROR(IF(TBL_DATA_01_Lot_Info[[#This Row],[Include?]]="Yes", IF(INDEX(TBL_ADD_02_Project_Info[Response], MATCH(1, (TBL_ADD_02_Project_Info[Lot]=TBL_DATA_01_Lot_Info[[#This Row],[Lot]])*(TBL_ADD_02_Project_Info[Ref]=N$1), 0))&lt;&gt;"", INDEX(TBL_ADD_02_Project_Info[Response], MATCH(1, (TBL_ADD_02_Project_Info[Lot]=TBL_DATA_01_Lot_Info[[#This Row],[Lot]])*(TBL_ADD_02_Project_Info[Ref]=N$1), 0)), ""), "N/A"), "N/A")</f>
        <v/>
      </c>
      <c r="O2" s="413" t="str">
        <f t="array" ref="O2">IFERROR(IF(TBL_DATA_01_Lot_Info[[#This Row],[Include?]]="Yes", IF(INDEX(TBL_ADD_02_Project_Info[Response], MATCH(1, (TBL_ADD_02_Project_Info[Lot]=TBL_DATA_01_Lot_Info[[#This Row],[Lot]])*(TBL_ADD_02_Project_Info[Ref]=O$1), 0))&lt;&gt;"", INDEX(TBL_ADD_02_Project_Info[Response], MATCH(1, (TBL_ADD_02_Project_Info[Lot]=TBL_DATA_01_Lot_Info[[#This Row],[Lot]])*(TBL_ADD_02_Project_Info[Ref]=O$1), 0)), ""), "N/A"), "N/A")</f>
        <v/>
      </c>
      <c r="P2" s="413" t="str">
        <f t="array" ref="P2">IFERROR(IF(TBL_DATA_01_Lot_Info[[#This Row],[Include?]]="Yes", IF(INDEX(TBL_ADD_02_Project_Info[Response], MATCH(1, (TBL_ADD_02_Project_Info[Lot]=TBL_DATA_01_Lot_Info[[#This Row],[Lot]])*(TBL_ADD_02_Project_Info[Ref]=P$1), 0))&lt;&gt;"", INDEX(TBL_ADD_02_Project_Info[Response], MATCH(1, (TBL_ADD_02_Project_Info[Lot]=TBL_DATA_01_Lot_Info[[#This Row],[Lot]])*(TBL_ADD_02_Project_Info[Ref]=P$1), 0)), ""), "N/A"), "N/A")</f>
        <v/>
      </c>
      <c r="Q2" s="413" t="str">
        <f t="array" ref="Q2">IFERROR(IF(TBL_DATA_01_Lot_Info[[#This Row],[Include?]]="Yes", IF(INDEX(TBL_ADD_02_Project_Info[Response], MATCH(1, (TBL_ADD_02_Project_Info[Lot]=TBL_DATA_01_Lot_Info[[#This Row],[Lot]])*(TBL_ADD_02_Project_Info[Ref]=Q$1), 0))&lt;&gt;"", INDEX(TBL_ADD_02_Project_Info[Response], MATCH(1, (TBL_ADD_02_Project_Info[Lot]=TBL_DATA_01_Lot_Info[[#This Row],[Lot]])*(TBL_ADD_02_Project_Info[Ref]=Q$1), 0)), ""), "N/A"), "N/A")</f>
        <v/>
      </c>
      <c r="R2" s="413">
        <f t="array" ref="R2">IFERROR(IF(TBL_DATA_01_Lot_Info[[#This Row],[Include?]]="Yes", IF(INDEX(TBL_ADD_02_Project_Info[Response], MATCH(1, (TBL_ADD_02_Project_Info[Lot]=TBL_DATA_01_Lot_Info[[#This Row],[Lot]])*(TBL_ADD_02_Project_Info[Ref]=R$1), 0))&lt;&gt;"", INDEX(TBL_ADD_02_Project_Info[Response], MATCH(1, (TBL_ADD_02_Project_Info[Lot]=TBL_DATA_01_Lot_Info[[#This Row],[Lot]])*(TBL_ADD_02_Project_Info[Ref]=R$1), 0)), ""), "N/A"), "N/A")</f>
        <v>4</v>
      </c>
      <c r="S2" s="413">
        <f t="array" ref="S2">IFERROR(IF(TBL_DATA_01_Lot_Info[[#This Row],[Include?]]="Yes", IF(INDEX(TBL_ADD_02_Project_Info[Response], MATCH(1, (TBL_ADD_02_Project_Info[Lot]=TBL_DATA_01_Lot_Info[[#This Row],[Lot]])*(TBL_ADD_02_Project_Info[Ref]=S$1), 0))&lt;&gt;"", INDEX(TBL_ADD_02_Project_Info[Response], MATCH(1, (TBL_ADD_02_Project_Info[Lot]=TBL_DATA_01_Lot_Info[[#This Row],[Lot]])*(TBL_ADD_02_Project_Info[Ref]=S$1), 0)), ""), "N/A"), "N/A")</f>
        <v>4</v>
      </c>
    </row>
    <row r="3" spans="1:19" hidden="1">
      <c r="A3" s="410">
        <v>1</v>
      </c>
      <c r="B3" s="408" t="s">
        <v>346</v>
      </c>
      <c r="C3" s="373" t="str">
        <f>IF(OR(AND(REF_Lotted="No", TBL_DATA_01_Lot_Info[[#This Row],[No]]=0), AND(REF_Lotted="Yes", REF_No_Lots&gt;=TBL_DATA_01_Lot_Info[[#This Row],[No]])), "Yes", "No")</f>
        <v>No</v>
      </c>
      <c r="D3" s="408" t="str">
        <f t="array" ref="D3">IFERROR(IF(TBL_DATA_01_Lot_Info[[#This Row],[Include?]]="Yes", IF(INDEX(TBL_ADD_02_Project_Info[Response], MATCH(1, (TBL_ADD_02_Project_Info[Lot]=TBL_DATA_01_Lot_Info[[#This Row],[Lot]])*(TBL_ADD_02_Project_Info[Ref]=D$1), 0))&lt;&gt;"", INDEX(TBL_ADD_02_Project_Info[Response], MATCH(1, (TBL_ADD_02_Project_Info[Lot]=TBL_DATA_01_Lot_Info[[#This Row],[Lot]])*(TBL_ADD_02_Project_Info[Ref]=D$1), 0)), ""), "N/A"), "N/A")</f>
        <v>N/A</v>
      </c>
      <c r="E3" s="408" t="str">
        <f t="array" ref="E3">IFERROR(IF(TBL_DATA_01_Lot_Info[[#This Row],[Include?]]="Yes", IF(INDEX(TBL_ADD_02_Project_Info[Response], MATCH(1, (TBL_ADD_02_Project_Info[Lot]=TBL_DATA_01_Lot_Info[[#This Row],[Lot]])*(TBL_ADD_02_Project_Info[Ref]=E$1), 0))&lt;&gt;"", INDEX(TBL_ADD_02_Project_Info[Response], MATCH(1, (TBL_ADD_02_Project_Info[Lot]=TBL_DATA_01_Lot_Info[[#This Row],[Lot]])*(TBL_ADD_02_Project_Info[Ref]=E$1), 0)), ""), "N/A"), "N/A")</f>
        <v>N/A</v>
      </c>
      <c r="F3" s="408" t="str">
        <f t="array" ref="F3">IFERROR(IF(TBL_DATA_01_Lot_Info[[#This Row],[Include?]]="Yes", IF(INDEX(TBL_ADD_02_Project_Info[Response], MATCH(1, (TBL_ADD_02_Project_Info[Lot]=TBL_DATA_01_Lot_Info[[#This Row],[Lot]])*(TBL_ADD_02_Project_Info[Ref]=F$1), 0))&lt;&gt;"", INDEX(TBL_ADD_02_Project_Info[Response], MATCH(1, (TBL_ADD_02_Project_Info[Lot]=TBL_DATA_01_Lot_Info[[#This Row],[Lot]])*(TBL_ADD_02_Project_Info[Ref]=F$1), 0)), ""), "N/A"), "N/A")</f>
        <v>N/A</v>
      </c>
      <c r="G3" s="414" t="str">
        <f t="array" ref="G3">IFERROR(IF(TBL_DATA_01_Lot_Info[[#This Row],[Include?]]="Yes", IF(INDEX(TBL_ADD_02_Project_Info[Response], MATCH(1, (TBL_ADD_02_Project_Info[Lot]=TBL_DATA_01_Lot_Info[[#This Row],[Lot]])*(TBL_ADD_02_Project_Info[Ref]=G$1), 0))&lt;&gt;"", INDEX(TBL_ADD_02_Project_Info[Response], MATCH(1, (TBL_ADD_02_Project_Info[Lot]=TBL_DATA_01_Lot_Info[[#This Row],[Lot]])*(TBL_ADD_02_Project_Info[Ref]=G$1), 0)), ""), "N/A"), "N/A")</f>
        <v>N/A</v>
      </c>
      <c r="H3" s="408" t="str">
        <f t="array" ref="H3">IFERROR(IF(TBL_DATA_01_Lot_Info[[#This Row],[Include?]]="Yes", IF(INDEX(TBL_ADD_02_Project_Info[Response], MATCH(1, (TBL_ADD_02_Project_Info[Lot]=TBL_DATA_01_Lot_Info[[#This Row],[Lot]])*(TBL_ADD_02_Project_Info[Ref]=H$1), 0))&lt;&gt;"", INDEX(TBL_ADD_02_Project_Info[Response], MATCH(1, (TBL_ADD_02_Project_Info[Lot]=TBL_DATA_01_Lot_Info[[#This Row],[Lot]])*(TBL_ADD_02_Project_Info[Ref]=H$1), 0)), ""), "N/A"), "N/A")</f>
        <v>N/A</v>
      </c>
      <c r="I3" s="408" t="str">
        <f t="array" ref="I3">IFERROR(IF(TBL_DATA_01_Lot_Info[[#This Row],[Include?]]="Yes", IF(INDEX(TBL_ADD_02_Project_Info[Response], MATCH(1, (TBL_ADD_02_Project_Info[Lot]=TBL_DATA_01_Lot_Info[[#This Row],[Lot]])*(TBL_ADD_02_Project_Info[Ref]=I$1), 0))&lt;&gt;"", INDEX(TBL_ADD_02_Project_Info[Response], MATCH(1, (TBL_ADD_02_Project_Info[Lot]=TBL_DATA_01_Lot_Info[[#This Row],[Lot]])*(TBL_ADD_02_Project_Info[Ref]=I$1), 0)), ""), "N/A"), "N/A")</f>
        <v>N/A</v>
      </c>
      <c r="J3" s="412" t="str">
        <f t="array" ref="J3">IFERROR(IF(TBL_DATA_01_Lot_Info[[#This Row],[Include?]]="Yes", IF(INDEX(TBL_ADD_02_Project_Info[Response], MATCH(1, (TBL_ADD_02_Project_Info[Lot]=TBL_DATA_01_Lot_Info[[#This Row],[Lot]])*(TBL_ADD_02_Project_Info[Ref]=J$1), 0))&lt;&gt;"", INDEX(TBL_ADD_02_Project_Info[Response], MATCH(1, (TBL_ADD_02_Project_Info[Lot]=TBL_DATA_01_Lot_Info[[#This Row],[Lot]])*(TBL_ADD_02_Project_Info[Ref]=J$1), 0)), ""), "N/A"), "N/A")</f>
        <v>N/A</v>
      </c>
      <c r="K3" s="412" t="str">
        <f t="array" ref="K3">IFERROR(IF(TBL_DATA_01_Lot_Info[[#This Row],[Include?]]="Yes", IF(INDEX(TBL_ADD_02_Project_Info[Response], MATCH(1, (TBL_ADD_02_Project_Info[Lot]=TBL_DATA_01_Lot_Info[[#This Row],[Lot]])*(TBL_ADD_02_Project_Info[Ref]=K$1), 0))&lt;&gt;"", INDEX(TBL_ADD_02_Project_Info[Response], MATCH(1, (TBL_ADD_02_Project_Info[Lot]=TBL_DATA_01_Lot_Info[[#This Row],[Lot]])*(TBL_ADD_02_Project_Info[Ref]=K$1), 0)), ""), "N/A"), "N/A")</f>
        <v>N/A</v>
      </c>
      <c r="L3" s="413" t="str">
        <f t="array" ref="L3">IFERROR(IF(TBL_DATA_01_Lot_Info[[#This Row],[Include?]]="Yes", IF(INDEX(TBL_ADD_02_Project_Info[Response], MATCH(1, (TBL_ADD_02_Project_Info[Lot]=TBL_DATA_01_Lot_Info[[#This Row],[Lot]])*(TBL_ADD_02_Project_Info[Ref]=L$1), 0))&lt;&gt;"", INDEX(TBL_ADD_02_Project_Info[Response], MATCH(1, (TBL_ADD_02_Project_Info[Lot]=TBL_DATA_01_Lot_Info[[#This Row],[Lot]])*(TBL_ADD_02_Project_Info[Ref]=L$1), 0)), ""), "N/A"), "N/A")</f>
        <v>N/A</v>
      </c>
      <c r="M3" s="413" t="str">
        <f t="array" ref="M3">IFERROR(IF(TBL_DATA_01_Lot_Info[[#This Row],[Include?]]="Yes", IF(INDEX(TBL_ADD_02_Project_Info[Response], MATCH(1, (TBL_ADD_02_Project_Info[Lot]=TBL_DATA_01_Lot_Info[[#This Row],[Lot]])*(TBL_ADD_02_Project_Info[Ref]=M$1), 0))&lt;&gt;"", INDEX(TBL_ADD_02_Project_Info[Response], MATCH(1, (TBL_ADD_02_Project_Info[Lot]=TBL_DATA_01_Lot_Info[[#This Row],[Lot]])*(TBL_ADD_02_Project_Info[Ref]=M$1), 0)), ""), "N/A"), "N/A")</f>
        <v>N/A</v>
      </c>
      <c r="N3" s="413" t="str">
        <f t="array" ref="N3">IFERROR(IF(TBL_DATA_01_Lot_Info[[#This Row],[Include?]]="Yes", IF(INDEX(TBL_ADD_02_Project_Info[Response], MATCH(1, (TBL_ADD_02_Project_Info[Lot]=TBL_DATA_01_Lot_Info[[#This Row],[Lot]])*(TBL_ADD_02_Project_Info[Ref]=N$1), 0))&lt;&gt;"", INDEX(TBL_ADD_02_Project_Info[Response], MATCH(1, (TBL_ADD_02_Project_Info[Lot]=TBL_DATA_01_Lot_Info[[#This Row],[Lot]])*(TBL_ADD_02_Project_Info[Ref]=N$1), 0)), ""), "N/A"), "N/A")</f>
        <v>N/A</v>
      </c>
      <c r="O3" s="413" t="str">
        <f t="array" ref="O3">IFERROR(IF(TBL_DATA_01_Lot_Info[[#This Row],[Include?]]="Yes", IF(INDEX(TBL_ADD_02_Project_Info[Response], MATCH(1, (TBL_ADD_02_Project_Info[Lot]=TBL_DATA_01_Lot_Info[[#This Row],[Lot]])*(TBL_ADD_02_Project_Info[Ref]=O$1), 0))&lt;&gt;"", INDEX(TBL_ADD_02_Project_Info[Response], MATCH(1, (TBL_ADD_02_Project_Info[Lot]=TBL_DATA_01_Lot_Info[[#This Row],[Lot]])*(TBL_ADD_02_Project_Info[Ref]=O$1), 0)), ""), "N/A"), "N/A")</f>
        <v>N/A</v>
      </c>
      <c r="P3" s="413" t="str">
        <f t="array" ref="P3">IFERROR(IF(TBL_DATA_01_Lot_Info[[#This Row],[Include?]]="Yes", IF(INDEX(TBL_ADD_02_Project_Info[Response], MATCH(1, (TBL_ADD_02_Project_Info[Lot]=TBL_DATA_01_Lot_Info[[#This Row],[Lot]])*(TBL_ADD_02_Project_Info[Ref]=P$1), 0))&lt;&gt;"", INDEX(TBL_ADD_02_Project_Info[Response], MATCH(1, (TBL_ADD_02_Project_Info[Lot]=TBL_DATA_01_Lot_Info[[#This Row],[Lot]])*(TBL_ADD_02_Project_Info[Ref]=P$1), 0)), ""), "N/A"), "N/A")</f>
        <v>N/A</v>
      </c>
      <c r="Q3" s="413" t="str">
        <f t="array" ref="Q3">IFERROR(IF(TBL_DATA_01_Lot_Info[[#This Row],[Include?]]="Yes", IF(INDEX(TBL_ADD_02_Project_Info[Response], MATCH(1, (TBL_ADD_02_Project_Info[Lot]=TBL_DATA_01_Lot_Info[[#This Row],[Lot]])*(TBL_ADD_02_Project_Info[Ref]=Q$1), 0))&lt;&gt;"", INDEX(TBL_ADD_02_Project_Info[Response], MATCH(1, (TBL_ADD_02_Project_Info[Lot]=TBL_DATA_01_Lot_Info[[#This Row],[Lot]])*(TBL_ADD_02_Project_Info[Ref]=Q$1), 0)), ""), "N/A"), "N/A")</f>
        <v>N/A</v>
      </c>
      <c r="R3" s="413" t="str">
        <f t="array" ref="R3">IFERROR(IF(TBL_DATA_01_Lot_Info[[#This Row],[Include?]]="Yes", IF(INDEX(TBL_ADD_02_Project_Info[Response], MATCH(1, (TBL_ADD_02_Project_Info[Lot]=TBL_DATA_01_Lot_Info[[#This Row],[Lot]])*(TBL_ADD_02_Project_Info[Ref]=R$1), 0))&lt;&gt;"", INDEX(TBL_ADD_02_Project_Info[Response], MATCH(1, (TBL_ADD_02_Project_Info[Lot]=TBL_DATA_01_Lot_Info[[#This Row],[Lot]])*(TBL_ADD_02_Project_Info[Ref]=R$1), 0)), ""), "N/A"), "N/A")</f>
        <v>N/A</v>
      </c>
      <c r="S3" s="413" t="str">
        <f t="array" ref="S3">IFERROR(IF(TBL_DATA_01_Lot_Info[[#This Row],[Include?]]="Yes", IF(INDEX(TBL_ADD_02_Project_Info[Response], MATCH(1, (TBL_ADD_02_Project_Info[Lot]=TBL_DATA_01_Lot_Info[[#This Row],[Lot]])*(TBL_ADD_02_Project_Info[Ref]=S$1), 0))&lt;&gt;"", INDEX(TBL_ADD_02_Project_Info[Response], MATCH(1, (TBL_ADD_02_Project_Info[Lot]=TBL_DATA_01_Lot_Info[[#This Row],[Lot]])*(TBL_ADD_02_Project_Info[Ref]=S$1), 0)), ""), "N/A"), "N/A")</f>
        <v>N/A</v>
      </c>
    </row>
    <row r="4" spans="1:19" hidden="1">
      <c r="A4" s="410">
        <v>2</v>
      </c>
      <c r="B4" s="408" t="s">
        <v>349</v>
      </c>
      <c r="C4" s="373" t="str">
        <f>IF(OR(AND(REF_Lotted="No", TBL_DATA_01_Lot_Info[[#This Row],[No]]=0), AND(REF_Lotted="Yes", REF_No_Lots&gt;=TBL_DATA_01_Lot_Info[[#This Row],[No]])), "Yes", "No")</f>
        <v>No</v>
      </c>
      <c r="D4" s="408" t="str">
        <f t="array" ref="D4">IFERROR(IF(TBL_DATA_01_Lot_Info[[#This Row],[Include?]]="Yes", IF(INDEX(TBL_ADD_02_Project_Info[Response], MATCH(1, (TBL_ADD_02_Project_Info[Lot]=TBL_DATA_01_Lot_Info[[#This Row],[Lot]])*(TBL_ADD_02_Project_Info[Ref]=D$1), 0))&lt;&gt;"", INDEX(TBL_ADD_02_Project_Info[Response], MATCH(1, (TBL_ADD_02_Project_Info[Lot]=TBL_DATA_01_Lot_Info[[#This Row],[Lot]])*(TBL_ADD_02_Project_Info[Ref]=D$1), 0)), ""), "N/A"), "N/A")</f>
        <v>N/A</v>
      </c>
      <c r="E4" s="408" t="str">
        <f t="array" ref="E4">IFERROR(IF(TBL_DATA_01_Lot_Info[[#This Row],[Include?]]="Yes", IF(INDEX(TBL_ADD_02_Project_Info[Response], MATCH(1, (TBL_ADD_02_Project_Info[Lot]=TBL_DATA_01_Lot_Info[[#This Row],[Lot]])*(TBL_ADD_02_Project_Info[Ref]=E$1), 0))&lt;&gt;"", INDEX(TBL_ADD_02_Project_Info[Response], MATCH(1, (TBL_ADD_02_Project_Info[Lot]=TBL_DATA_01_Lot_Info[[#This Row],[Lot]])*(TBL_ADD_02_Project_Info[Ref]=E$1), 0)), ""), "N/A"), "N/A")</f>
        <v>N/A</v>
      </c>
      <c r="F4" s="408" t="str">
        <f t="array" ref="F4">IFERROR(IF(TBL_DATA_01_Lot_Info[[#This Row],[Include?]]="Yes", IF(INDEX(TBL_ADD_02_Project_Info[Response], MATCH(1, (TBL_ADD_02_Project_Info[Lot]=TBL_DATA_01_Lot_Info[[#This Row],[Lot]])*(TBL_ADD_02_Project_Info[Ref]=F$1), 0))&lt;&gt;"", INDEX(TBL_ADD_02_Project_Info[Response], MATCH(1, (TBL_ADD_02_Project_Info[Lot]=TBL_DATA_01_Lot_Info[[#This Row],[Lot]])*(TBL_ADD_02_Project_Info[Ref]=F$1), 0)), ""), "N/A"), "N/A")</f>
        <v>N/A</v>
      </c>
      <c r="G4" s="414" t="str">
        <f t="array" ref="G4">IFERROR(IF(TBL_DATA_01_Lot_Info[[#This Row],[Include?]]="Yes", IF(INDEX(TBL_ADD_02_Project_Info[Response], MATCH(1, (TBL_ADD_02_Project_Info[Lot]=TBL_DATA_01_Lot_Info[[#This Row],[Lot]])*(TBL_ADD_02_Project_Info[Ref]=G$1), 0))&lt;&gt;"", INDEX(TBL_ADD_02_Project_Info[Response], MATCH(1, (TBL_ADD_02_Project_Info[Lot]=TBL_DATA_01_Lot_Info[[#This Row],[Lot]])*(TBL_ADD_02_Project_Info[Ref]=G$1), 0)), ""), "N/A"), "N/A")</f>
        <v>N/A</v>
      </c>
      <c r="H4" s="408" t="str">
        <f t="array" ref="H4">IFERROR(IF(TBL_DATA_01_Lot_Info[[#This Row],[Include?]]="Yes", IF(INDEX(TBL_ADD_02_Project_Info[Response], MATCH(1, (TBL_ADD_02_Project_Info[Lot]=TBL_DATA_01_Lot_Info[[#This Row],[Lot]])*(TBL_ADD_02_Project_Info[Ref]=H$1), 0))&lt;&gt;"", INDEX(TBL_ADD_02_Project_Info[Response], MATCH(1, (TBL_ADD_02_Project_Info[Lot]=TBL_DATA_01_Lot_Info[[#This Row],[Lot]])*(TBL_ADD_02_Project_Info[Ref]=H$1), 0)), ""), "N/A"), "N/A")</f>
        <v>N/A</v>
      </c>
      <c r="I4" s="408" t="str">
        <f t="array" ref="I4">IFERROR(IF(TBL_DATA_01_Lot_Info[[#This Row],[Include?]]="Yes", IF(INDEX(TBL_ADD_02_Project_Info[Response], MATCH(1, (TBL_ADD_02_Project_Info[Lot]=TBL_DATA_01_Lot_Info[[#This Row],[Lot]])*(TBL_ADD_02_Project_Info[Ref]=I$1), 0))&lt;&gt;"", INDEX(TBL_ADD_02_Project_Info[Response], MATCH(1, (TBL_ADD_02_Project_Info[Lot]=TBL_DATA_01_Lot_Info[[#This Row],[Lot]])*(TBL_ADD_02_Project_Info[Ref]=I$1), 0)), ""), "N/A"), "N/A")</f>
        <v>N/A</v>
      </c>
      <c r="J4" s="412" t="str">
        <f t="array" ref="J4">IFERROR(IF(TBL_DATA_01_Lot_Info[[#This Row],[Include?]]="Yes", IF(INDEX(TBL_ADD_02_Project_Info[Response], MATCH(1, (TBL_ADD_02_Project_Info[Lot]=TBL_DATA_01_Lot_Info[[#This Row],[Lot]])*(TBL_ADD_02_Project_Info[Ref]=J$1), 0))&lt;&gt;"", INDEX(TBL_ADD_02_Project_Info[Response], MATCH(1, (TBL_ADD_02_Project_Info[Lot]=TBL_DATA_01_Lot_Info[[#This Row],[Lot]])*(TBL_ADD_02_Project_Info[Ref]=J$1), 0)), ""), "N/A"), "N/A")</f>
        <v>N/A</v>
      </c>
      <c r="K4" s="412" t="str">
        <f t="array" ref="K4">IFERROR(IF(TBL_DATA_01_Lot_Info[[#This Row],[Include?]]="Yes", IF(INDEX(TBL_ADD_02_Project_Info[Response], MATCH(1, (TBL_ADD_02_Project_Info[Lot]=TBL_DATA_01_Lot_Info[[#This Row],[Lot]])*(TBL_ADD_02_Project_Info[Ref]=K$1), 0))&lt;&gt;"", INDEX(TBL_ADD_02_Project_Info[Response], MATCH(1, (TBL_ADD_02_Project_Info[Lot]=TBL_DATA_01_Lot_Info[[#This Row],[Lot]])*(TBL_ADD_02_Project_Info[Ref]=K$1), 0)), ""), "N/A"), "N/A")</f>
        <v>N/A</v>
      </c>
      <c r="L4" s="413" t="str">
        <f t="array" ref="L4">IFERROR(IF(TBL_DATA_01_Lot_Info[[#This Row],[Include?]]="Yes", IF(INDEX(TBL_ADD_02_Project_Info[Response], MATCH(1, (TBL_ADD_02_Project_Info[Lot]=TBL_DATA_01_Lot_Info[[#This Row],[Lot]])*(TBL_ADD_02_Project_Info[Ref]=L$1), 0))&lt;&gt;"", INDEX(TBL_ADD_02_Project_Info[Response], MATCH(1, (TBL_ADD_02_Project_Info[Lot]=TBL_DATA_01_Lot_Info[[#This Row],[Lot]])*(TBL_ADD_02_Project_Info[Ref]=L$1), 0)), ""), "N/A"), "N/A")</f>
        <v>N/A</v>
      </c>
      <c r="M4" s="413" t="str">
        <f t="array" ref="M4">IFERROR(IF(TBL_DATA_01_Lot_Info[[#This Row],[Include?]]="Yes", IF(INDEX(TBL_ADD_02_Project_Info[Response], MATCH(1, (TBL_ADD_02_Project_Info[Lot]=TBL_DATA_01_Lot_Info[[#This Row],[Lot]])*(TBL_ADD_02_Project_Info[Ref]=M$1), 0))&lt;&gt;"", INDEX(TBL_ADD_02_Project_Info[Response], MATCH(1, (TBL_ADD_02_Project_Info[Lot]=TBL_DATA_01_Lot_Info[[#This Row],[Lot]])*(TBL_ADD_02_Project_Info[Ref]=M$1), 0)), ""), "N/A"), "N/A")</f>
        <v>N/A</v>
      </c>
      <c r="N4" s="413" t="str">
        <f t="array" ref="N4">IFERROR(IF(TBL_DATA_01_Lot_Info[[#This Row],[Include?]]="Yes", IF(INDEX(TBL_ADD_02_Project_Info[Response], MATCH(1, (TBL_ADD_02_Project_Info[Lot]=TBL_DATA_01_Lot_Info[[#This Row],[Lot]])*(TBL_ADD_02_Project_Info[Ref]=N$1), 0))&lt;&gt;"", INDEX(TBL_ADD_02_Project_Info[Response], MATCH(1, (TBL_ADD_02_Project_Info[Lot]=TBL_DATA_01_Lot_Info[[#This Row],[Lot]])*(TBL_ADD_02_Project_Info[Ref]=N$1), 0)), ""), "N/A"), "N/A")</f>
        <v>N/A</v>
      </c>
      <c r="O4" s="413" t="str">
        <f t="array" ref="O4">IFERROR(IF(TBL_DATA_01_Lot_Info[[#This Row],[Include?]]="Yes", IF(INDEX(TBL_ADD_02_Project_Info[Response], MATCH(1, (TBL_ADD_02_Project_Info[Lot]=TBL_DATA_01_Lot_Info[[#This Row],[Lot]])*(TBL_ADD_02_Project_Info[Ref]=O$1), 0))&lt;&gt;"", INDEX(TBL_ADD_02_Project_Info[Response], MATCH(1, (TBL_ADD_02_Project_Info[Lot]=TBL_DATA_01_Lot_Info[[#This Row],[Lot]])*(TBL_ADD_02_Project_Info[Ref]=O$1), 0)), ""), "N/A"), "N/A")</f>
        <v>N/A</v>
      </c>
      <c r="P4" s="413" t="str">
        <f t="array" ref="P4">IFERROR(IF(TBL_DATA_01_Lot_Info[[#This Row],[Include?]]="Yes", IF(INDEX(TBL_ADD_02_Project_Info[Response], MATCH(1, (TBL_ADD_02_Project_Info[Lot]=TBL_DATA_01_Lot_Info[[#This Row],[Lot]])*(TBL_ADD_02_Project_Info[Ref]=P$1), 0))&lt;&gt;"", INDEX(TBL_ADD_02_Project_Info[Response], MATCH(1, (TBL_ADD_02_Project_Info[Lot]=TBL_DATA_01_Lot_Info[[#This Row],[Lot]])*(TBL_ADD_02_Project_Info[Ref]=P$1), 0)), ""), "N/A"), "N/A")</f>
        <v>N/A</v>
      </c>
      <c r="Q4" s="413" t="str">
        <f t="array" ref="Q4">IFERROR(IF(TBL_DATA_01_Lot_Info[[#This Row],[Include?]]="Yes", IF(INDEX(TBL_ADD_02_Project_Info[Response], MATCH(1, (TBL_ADD_02_Project_Info[Lot]=TBL_DATA_01_Lot_Info[[#This Row],[Lot]])*(TBL_ADD_02_Project_Info[Ref]=Q$1), 0))&lt;&gt;"", INDEX(TBL_ADD_02_Project_Info[Response], MATCH(1, (TBL_ADD_02_Project_Info[Lot]=TBL_DATA_01_Lot_Info[[#This Row],[Lot]])*(TBL_ADD_02_Project_Info[Ref]=Q$1), 0)), ""), "N/A"), "N/A")</f>
        <v>N/A</v>
      </c>
      <c r="R4" s="413" t="str">
        <f t="array" ref="R4">IFERROR(IF(TBL_DATA_01_Lot_Info[[#This Row],[Include?]]="Yes", IF(INDEX(TBL_ADD_02_Project_Info[Response], MATCH(1, (TBL_ADD_02_Project_Info[Lot]=TBL_DATA_01_Lot_Info[[#This Row],[Lot]])*(TBL_ADD_02_Project_Info[Ref]=R$1), 0))&lt;&gt;"", INDEX(TBL_ADD_02_Project_Info[Response], MATCH(1, (TBL_ADD_02_Project_Info[Lot]=TBL_DATA_01_Lot_Info[[#This Row],[Lot]])*(TBL_ADD_02_Project_Info[Ref]=R$1), 0)), ""), "N/A"), "N/A")</f>
        <v>N/A</v>
      </c>
      <c r="S4" s="413" t="str">
        <f t="array" ref="S4">IFERROR(IF(TBL_DATA_01_Lot_Info[[#This Row],[Include?]]="Yes", IF(INDEX(TBL_ADD_02_Project_Info[Response], MATCH(1, (TBL_ADD_02_Project_Info[Lot]=TBL_DATA_01_Lot_Info[[#This Row],[Lot]])*(TBL_ADD_02_Project_Info[Ref]=S$1), 0))&lt;&gt;"", INDEX(TBL_ADD_02_Project_Info[Response], MATCH(1, (TBL_ADD_02_Project_Info[Lot]=TBL_DATA_01_Lot_Info[[#This Row],[Lot]])*(TBL_ADD_02_Project_Info[Ref]=S$1), 0)), ""), "N/A"), "N/A")</f>
        <v>N/A</v>
      </c>
    </row>
    <row r="5" spans="1:19" hidden="1">
      <c r="A5" s="410">
        <v>3</v>
      </c>
      <c r="B5" s="408" t="s">
        <v>352</v>
      </c>
      <c r="C5" s="373" t="str">
        <f>IF(OR(AND(REF_Lotted="No", TBL_DATA_01_Lot_Info[[#This Row],[No]]=0), AND(REF_Lotted="Yes", REF_No_Lots&gt;=TBL_DATA_01_Lot_Info[[#This Row],[No]])), "Yes", "No")</f>
        <v>No</v>
      </c>
      <c r="D5" s="408" t="str">
        <f t="array" ref="D5">IFERROR(IF(TBL_DATA_01_Lot_Info[[#This Row],[Include?]]="Yes", IF(INDEX(TBL_ADD_02_Project_Info[Response], MATCH(1, (TBL_ADD_02_Project_Info[Lot]=TBL_DATA_01_Lot_Info[[#This Row],[Lot]])*(TBL_ADD_02_Project_Info[Ref]=D$1), 0))&lt;&gt;"", INDEX(TBL_ADD_02_Project_Info[Response], MATCH(1, (TBL_ADD_02_Project_Info[Lot]=TBL_DATA_01_Lot_Info[[#This Row],[Lot]])*(TBL_ADD_02_Project_Info[Ref]=D$1), 0)), ""), "N/A"), "N/A")</f>
        <v>N/A</v>
      </c>
      <c r="E5" s="408" t="str">
        <f t="array" ref="E5">IFERROR(IF(TBL_DATA_01_Lot_Info[[#This Row],[Include?]]="Yes", IF(INDEX(TBL_ADD_02_Project_Info[Response], MATCH(1, (TBL_ADD_02_Project_Info[Lot]=TBL_DATA_01_Lot_Info[[#This Row],[Lot]])*(TBL_ADD_02_Project_Info[Ref]=E$1), 0))&lt;&gt;"", INDEX(TBL_ADD_02_Project_Info[Response], MATCH(1, (TBL_ADD_02_Project_Info[Lot]=TBL_DATA_01_Lot_Info[[#This Row],[Lot]])*(TBL_ADD_02_Project_Info[Ref]=E$1), 0)), ""), "N/A"), "N/A")</f>
        <v>N/A</v>
      </c>
      <c r="F5" s="408" t="str">
        <f t="array" ref="F5">IFERROR(IF(TBL_DATA_01_Lot_Info[[#This Row],[Include?]]="Yes", IF(INDEX(TBL_ADD_02_Project_Info[Response], MATCH(1, (TBL_ADD_02_Project_Info[Lot]=TBL_DATA_01_Lot_Info[[#This Row],[Lot]])*(TBL_ADD_02_Project_Info[Ref]=F$1), 0))&lt;&gt;"", INDEX(TBL_ADD_02_Project_Info[Response], MATCH(1, (TBL_ADD_02_Project_Info[Lot]=TBL_DATA_01_Lot_Info[[#This Row],[Lot]])*(TBL_ADD_02_Project_Info[Ref]=F$1), 0)), ""), "N/A"), "N/A")</f>
        <v>N/A</v>
      </c>
      <c r="G5" s="414" t="str">
        <f t="array" ref="G5">IFERROR(IF(TBL_DATA_01_Lot_Info[[#This Row],[Include?]]="Yes", IF(INDEX(TBL_ADD_02_Project_Info[Response], MATCH(1, (TBL_ADD_02_Project_Info[Lot]=TBL_DATA_01_Lot_Info[[#This Row],[Lot]])*(TBL_ADD_02_Project_Info[Ref]=G$1), 0))&lt;&gt;"", INDEX(TBL_ADD_02_Project_Info[Response], MATCH(1, (TBL_ADD_02_Project_Info[Lot]=TBL_DATA_01_Lot_Info[[#This Row],[Lot]])*(TBL_ADD_02_Project_Info[Ref]=G$1), 0)), ""), "N/A"), "N/A")</f>
        <v>N/A</v>
      </c>
      <c r="H5" s="408" t="str">
        <f t="array" ref="H5">IFERROR(IF(TBL_DATA_01_Lot_Info[[#This Row],[Include?]]="Yes", IF(INDEX(TBL_ADD_02_Project_Info[Response], MATCH(1, (TBL_ADD_02_Project_Info[Lot]=TBL_DATA_01_Lot_Info[[#This Row],[Lot]])*(TBL_ADD_02_Project_Info[Ref]=H$1), 0))&lt;&gt;"", INDEX(TBL_ADD_02_Project_Info[Response], MATCH(1, (TBL_ADD_02_Project_Info[Lot]=TBL_DATA_01_Lot_Info[[#This Row],[Lot]])*(TBL_ADD_02_Project_Info[Ref]=H$1), 0)), ""), "N/A"), "N/A")</f>
        <v>N/A</v>
      </c>
      <c r="I5" s="408" t="str">
        <f t="array" ref="I5">IFERROR(IF(TBL_DATA_01_Lot_Info[[#This Row],[Include?]]="Yes", IF(INDEX(TBL_ADD_02_Project_Info[Response], MATCH(1, (TBL_ADD_02_Project_Info[Lot]=TBL_DATA_01_Lot_Info[[#This Row],[Lot]])*(TBL_ADD_02_Project_Info[Ref]=I$1), 0))&lt;&gt;"", INDEX(TBL_ADD_02_Project_Info[Response], MATCH(1, (TBL_ADD_02_Project_Info[Lot]=TBL_DATA_01_Lot_Info[[#This Row],[Lot]])*(TBL_ADD_02_Project_Info[Ref]=I$1), 0)), ""), "N/A"), "N/A")</f>
        <v>N/A</v>
      </c>
      <c r="J5" s="412" t="str">
        <f t="array" ref="J5">IFERROR(IF(TBL_DATA_01_Lot_Info[[#This Row],[Include?]]="Yes", IF(INDEX(TBL_ADD_02_Project_Info[Response], MATCH(1, (TBL_ADD_02_Project_Info[Lot]=TBL_DATA_01_Lot_Info[[#This Row],[Lot]])*(TBL_ADD_02_Project_Info[Ref]=J$1), 0))&lt;&gt;"", INDEX(TBL_ADD_02_Project_Info[Response], MATCH(1, (TBL_ADD_02_Project_Info[Lot]=TBL_DATA_01_Lot_Info[[#This Row],[Lot]])*(TBL_ADD_02_Project_Info[Ref]=J$1), 0)), ""), "N/A"), "N/A")</f>
        <v>N/A</v>
      </c>
      <c r="K5" s="412" t="str">
        <f t="array" ref="K5">IFERROR(IF(TBL_DATA_01_Lot_Info[[#This Row],[Include?]]="Yes", IF(INDEX(TBL_ADD_02_Project_Info[Response], MATCH(1, (TBL_ADD_02_Project_Info[Lot]=TBL_DATA_01_Lot_Info[[#This Row],[Lot]])*(TBL_ADD_02_Project_Info[Ref]=K$1), 0))&lt;&gt;"", INDEX(TBL_ADD_02_Project_Info[Response], MATCH(1, (TBL_ADD_02_Project_Info[Lot]=TBL_DATA_01_Lot_Info[[#This Row],[Lot]])*(TBL_ADD_02_Project_Info[Ref]=K$1), 0)), ""), "N/A"), "N/A")</f>
        <v>N/A</v>
      </c>
      <c r="L5" s="413" t="str">
        <f t="array" ref="L5">IFERROR(IF(TBL_DATA_01_Lot_Info[[#This Row],[Include?]]="Yes", IF(INDEX(TBL_ADD_02_Project_Info[Response], MATCH(1, (TBL_ADD_02_Project_Info[Lot]=TBL_DATA_01_Lot_Info[[#This Row],[Lot]])*(TBL_ADD_02_Project_Info[Ref]=L$1), 0))&lt;&gt;"", INDEX(TBL_ADD_02_Project_Info[Response], MATCH(1, (TBL_ADD_02_Project_Info[Lot]=TBL_DATA_01_Lot_Info[[#This Row],[Lot]])*(TBL_ADD_02_Project_Info[Ref]=L$1), 0)), ""), "N/A"), "N/A")</f>
        <v>N/A</v>
      </c>
      <c r="M5" s="413" t="str">
        <f t="array" ref="M5">IFERROR(IF(TBL_DATA_01_Lot_Info[[#This Row],[Include?]]="Yes", IF(INDEX(TBL_ADD_02_Project_Info[Response], MATCH(1, (TBL_ADD_02_Project_Info[Lot]=TBL_DATA_01_Lot_Info[[#This Row],[Lot]])*(TBL_ADD_02_Project_Info[Ref]=M$1), 0))&lt;&gt;"", INDEX(TBL_ADD_02_Project_Info[Response], MATCH(1, (TBL_ADD_02_Project_Info[Lot]=TBL_DATA_01_Lot_Info[[#This Row],[Lot]])*(TBL_ADD_02_Project_Info[Ref]=M$1), 0)), ""), "N/A"), "N/A")</f>
        <v>N/A</v>
      </c>
      <c r="N5" s="413" t="str">
        <f t="array" ref="N5">IFERROR(IF(TBL_DATA_01_Lot_Info[[#This Row],[Include?]]="Yes", IF(INDEX(TBL_ADD_02_Project_Info[Response], MATCH(1, (TBL_ADD_02_Project_Info[Lot]=TBL_DATA_01_Lot_Info[[#This Row],[Lot]])*(TBL_ADD_02_Project_Info[Ref]=N$1), 0))&lt;&gt;"", INDEX(TBL_ADD_02_Project_Info[Response], MATCH(1, (TBL_ADD_02_Project_Info[Lot]=TBL_DATA_01_Lot_Info[[#This Row],[Lot]])*(TBL_ADD_02_Project_Info[Ref]=N$1), 0)), ""), "N/A"), "N/A")</f>
        <v>N/A</v>
      </c>
      <c r="O5" s="413" t="str">
        <f t="array" ref="O5">IFERROR(IF(TBL_DATA_01_Lot_Info[[#This Row],[Include?]]="Yes", IF(INDEX(TBL_ADD_02_Project_Info[Response], MATCH(1, (TBL_ADD_02_Project_Info[Lot]=TBL_DATA_01_Lot_Info[[#This Row],[Lot]])*(TBL_ADD_02_Project_Info[Ref]=O$1), 0))&lt;&gt;"", INDEX(TBL_ADD_02_Project_Info[Response], MATCH(1, (TBL_ADD_02_Project_Info[Lot]=TBL_DATA_01_Lot_Info[[#This Row],[Lot]])*(TBL_ADD_02_Project_Info[Ref]=O$1), 0)), ""), "N/A"), "N/A")</f>
        <v>N/A</v>
      </c>
      <c r="P5" s="413" t="str">
        <f t="array" ref="P5">IFERROR(IF(TBL_DATA_01_Lot_Info[[#This Row],[Include?]]="Yes", IF(INDEX(TBL_ADD_02_Project_Info[Response], MATCH(1, (TBL_ADD_02_Project_Info[Lot]=TBL_DATA_01_Lot_Info[[#This Row],[Lot]])*(TBL_ADD_02_Project_Info[Ref]=P$1), 0))&lt;&gt;"", INDEX(TBL_ADD_02_Project_Info[Response], MATCH(1, (TBL_ADD_02_Project_Info[Lot]=TBL_DATA_01_Lot_Info[[#This Row],[Lot]])*(TBL_ADD_02_Project_Info[Ref]=P$1), 0)), ""), "N/A"), "N/A")</f>
        <v>N/A</v>
      </c>
      <c r="Q5" s="413" t="str">
        <f t="array" ref="Q5">IFERROR(IF(TBL_DATA_01_Lot_Info[[#This Row],[Include?]]="Yes", IF(INDEX(TBL_ADD_02_Project_Info[Response], MATCH(1, (TBL_ADD_02_Project_Info[Lot]=TBL_DATA_01_Lot_Info[[#This Row],[Lot]])*(TBL_ADD_02_Project_Info[Ref]=Q$1), 0))&lt;&gt;"", INDEX(TBL_ADD_02_Project_Info[Response], MATCH(1, (TBL_ADD_02_Project_Info[Lot]=TBL_DATA_01_Lot_Info[[#This Row],[Lot]])*(TBL_ADD_02_Project_Info[Ref]=Q$1), 0)), ""), "N/A"), "N/A")</f>
        <v>N/A</v>
      </c>
      <c r="R5" s="413" t="str">
        <f t="array" ref="R5">IFERROR(IF(TBL_DATA_01_Lot_Info[[#This Row],[Include?]]="Yes", IF(INDEX(TBL_ADD_02_Project_Info[Response], MATCH(1, (TBL_ADD_02_Project_Info[Lot]=TBL_DATA_01_Lot_Info[[#This Row],[Lot]])*(TBL_ADD_02_Project_Info[Ref]=R$1), 0))&lt;&gt;"", INDEX(TBL_ADD_02_Project_Info[Response], MATCH(1, (TBL_ADD_02_Project_Info[Lot]=TBL_DATA_01_Lot_Info[[#This Row],[Lot]])*(TBL_ADD_02_Project_Info[Ref]=R$1), 0)), ""), "N/A"), "N/A")</f>
        <v>N/A</v>
      </c>
      <c r="S5" s="413" t="str">
        <f t="array" ref="S5">IFERROR(IF(TBL_DATA_01_Lot_Info[[#This Row],[Include?]]="Yes", IF(INDEX(TBL_ADD_02_Project_Info[Response], MATCH(1, (TBL_ADD_02_Project_Info[Lot]=TBL_DATA_01_Lot_Info[[#This Row],[Lot]])*(TBL_ADD_02_Project_Info[Ref]=S$1), 0))&lt;&gt;"", INDEX(TBL_ADD_02_Project_Info[Response], MATCH(1, (TBL_ADD_02_Project_Info[Lot]=TBL_DATA_01_Lot_Info[[#This Row],[Lot]])*(TBL_ADD_02_Project_Info[Ref]=S$1), 0)), ""), "N/A"), "N/A")</f>
        <v>N/A</v>
      </c>
    </row>
    <row r="6" spans="1:19" hidden="1">
      <c r="A6" s="410">
        <v>4</v>
      </c>
      <c r="B6" s="408" t="s">
        <v>351</v>
      </c>
      <c r="C6" s="373" t="str">
        <f>IF(OR(AND(REF_Lotted="No", TBL_DATA_01_Lot_Info[[#This Row],[No]]=0), AND(REF_Lotted="Yes", REF_No_Lots&gt;=TBL_DATA_01_Lot_Info[[#This Row],[No]])), "Yes", "No")</f>
        <v>No</v>
      </c>
      <c r="D6" s="408" t="str">
        <f t="array" ref="D6">IFERROR(IF(TBL_DATA_01_Lot_Info[[#This Row],[Include?]]="Yes", IF(INDEX(TBL_ADD_02_Project_Info[Response], MATCH(1, (TBL_ADD_02_Project_Info[Lot]=TBL_DATA_01_Lot_Info[[#This Row],[Lot]])*(TBL_ADD_02_Project_Info[Ref]=D$1), 0))&lt;&gt;"", INDEX(TBL_ADD_02_Project_Info[Response], MATCH(1, (TBL_ADD_02_Project_Info[Lot]=TBL_DATA_01_Lot_Info[[#This Row],[Lot]])*(TBL_ADD_02_Project_Info[Ref]=D$1), 0)), ""), "N/A"), "N/A")</f>
        <v>N/A</v>
      </c>
      <c r="E6" s="408" t="str">
        <f t="array" ref="E6">IFERROR(IF(TBL_DATA_01_Lot_Info[[#This Row],[Include?]]="Yes", IF(INDEX(TBL_ADD_02_Project_Info[Response], MATCH(1, (TBL_ADD_02_Project_Info[Lot]=TBL_DATA_01_Lot_Info[[#This Row],[Lot]])*(TBL_ADD_02_Project_Info[Ref]=E$1), 0))&lt;&gt;"", INDEX(TBL_ADD_02_Project_Info[Response], MATCH(1, (TBL_ADD_02_Project_Info[Lot]=TBL_DATA_01_Lot_Info[[#This Row],[Lot]])*(TBL_ADD_02_Project_Info[Ref]=E$1), 0)), ""), "N/A"), "N/A")</f>
        <v>N/A</v>
      </c>
      <c r="F6" s="408" t="str">
        <f t="array" ref="F6">IFERROR(IF(TBL_DATA_01_Lot_Info[[#This Row],[Include?]]="Yes", IF(INDEX(TBL_ADD_02_Project_Info[Response], MATCH(1, (TBL_ADD_02_Project_Info[Lot]=TBL_DATA_01_Lot_Info[[#This Row],[Lot]])*(TBL_ADD_02_Project_Info[Ref]=F$1), 0))&lt;&gt;"", INDEX(TBL_ADD_02_Project_Info[Response], MATCH(1, (TBL_ADD_02_Project_Info[Lot]=TBL_DATA_01_Lot_Info[[#This Row],[Lot]])*(TBL_ADD_02_Project_Info[Ref]=F$1), 0)), ""), "N/A"), "N/A")</f>
        <v>N/A</v>
      </c>
      <c r="G6" s="414" t="str">
        <f t="array" ref="G6">IFERROR(IF(TBL_DATA_01_Lot_Info[[#This Row],[Include?]]="Yes", IF(INDEX(TBL_ADD_02_Project_Info[Response], MATCH(1, (TBL_ADD_02_Project_Info[Lot]=TBL_DATA_01_Lot_Info[[#This Row],[Lot]])*(TBL_ADD_02_Project_Info[Ref]=G$1), 0))&lt;&gt;"", INDEX(TBL_ADD_02_Project_Info[Response], MATCH(1, (TBL_ADD_02_Project_Info[Lot]=TBL_DATA_01_Lot_Info[[#This Row],[Lot]])*(TBL_ADD_02_Project_Info[Ref]=G$1), 0)), ""), "N/A"), "N/A")</f>
        <v>N/A</v>
      </c>
      <c r="H6" s="408" t="str">
        <f t="array" ref="H6">IFERROR(IF(TBL_DATA_01_Lot_Info[[#This Row],[Include?]]="Yes", IF(INDEX(TBL_ADD_02_Project_Info[Response], MATCH(1, (TBL_ADD_02_Project_Info[Lot]=TBL_DATA_01_Lot_Info[[#This Row],[Lot]])*(TBL_ADD_02_Project_Info[Ref]=H$1), 0))&lt;&gt;"", INDEX(TBL_ADD_02_Project_Info[Response], MATCH(1, (TBL_ADD_02_Project_Info[Lot]=TBL_DATA_01_Lot_Info[[#This Row],[Lot]])*(TBL_ADD_02_Project_Info[Ref]=H$1), 0)), ""), "N/A"), "N/A")</f>
        <v>N/A</v>
      </c>
      <c r="I6" s="408" t="str">
        <f t="array" ref="I6">IFERROR(IF(TBL_DATA_01_Lot_Info[[#This Row],[Include?]]="Yes", IF(INDEX(TBL_ADD_02_Project_Info[Response], MATCH(1, (TBL_ADD_02_Project_Info[Lot]=TBL_DATA_01_Lot_Info[[#This Row],[Lot]])*(TBL_ADD_02_Project_Info[Ref]=I$1), 0))&lt;&gt;"", INDEX(TBL_ADD_02_Project_Info[Response], MATCH(1, (TBL_ADD_02_Project_Info[Lot]=TBL_DATA_01_Lot_Info[[#This Row],[Lot]])*(TBL_ADD_02_Project_Info[Ref]=I$1), 0)), ""), "N/A"), "N/A")</f>
        <v>N/A</v>
      </c>
      <c r="J6" s="412" t="str">
        <f t="array" ref="J6">IFERROR(IF(TBL_DATA_01_Lot_Info[[#This Row],[Include?]]="Yes", IF(INDEX(TBL_ADD_02_Project_Info[Response], MATCH(1, (TBL_ADD_02_Project_Info[Lot]=TBL_DATA_01_Lot_Info[[#This Row],[Lot]])*(TBL_ADD_02_Project_Info[Ref]=J$1), 0))&lt;&gt;"", INDEX(TBL_ADD_02_Project_Info[Response], MATCH(1, (TBL_ADD_02_Project_Info[Lot]=TBL_DATA_01_Lot_Info[[#This Row],[Lot]])*(TBL_ADD_02_Project_Info[Ref]=J$1), 0)), ""), "N/A"), "N/A")</f>
        <v>N/A</v>
      </c>
      <c r="K6" s="412" t="str">
        <f t="array" ref="K6">IFERROR(IF(TBL_DATA_01_Lot_Info[[#This Row],[Include?]]="Yes", IF(INDEX(TBL_ADD_02_Project_Info[Response], MATCH(1, (TBL_ADD_02_Project_Info[Lot]=TBL_DATA_01_Lot_Info[[#This Row],[Lot]])*(TBL_ADD_02_Project_Info[Ref]=K$1), 0))&lt;&gt;"", INDEX(TBL_ADD_02_Project_Info[Response], MATCH(1, (TBL_ADD_02_Project_Info[Lot]=TBL_DATA_01_Lot_Info[[#This Row],[Lot]])*(TBL_ADD_02_Project_Info[Ref]=K$1), 0)), ""), "N/A"), "N/A")</f>
        <v>N/A</v>
      </c>
      <c r="L6" s="413" t="str">
        <f t="array" ref="L6">IFERROR(IF(TBL_DATA_01_Lot_Info[[#This Row],[Include?]]="Yes", IF(INDEX(TBL_ADD_02_Project_Info[Response], MATCH(1, (TBL_ADD_02_Project_Info[Lot]=TBL_DATA_01_Lot_Info[[#This Row],[Lot]])*(TBL_ADD_02_Project_Info[Ref]=L$1), 0))&lt;&gt;"", INDEX(TBL_ADD_02_Project_Info[Response], MATCH(1, (TBL_ADD_02_Project_Info[Lot]=TBL_DATA_01_Lot_Info[[#This Row],[Lot]])*(TBL_ADD_02_Project_Info[Ref]=L$1), 0)), ""), "N/A"), "N/A")</f>
        <v>N/A</v>
      </c>
      <c r="M6" s="413" t="str">
        <f t="array" ref="M6">IFERROR(IF(TBL_DATA_01_Lot_Info[[#This Row],[Include?]]="Yes", IF(INDEX(TBL_ADD_02_Project_Info[Response], MATCH(1, (TBL_ADD_02_Project_Info[Lot]=TBL_DATA_01_Lot_Info[[#This Row],[Lot]])*(TBL_ADD_02_Project_Info[Ref]=M$1), 0))&lt;&gt;"", INDEX(TBL_ADD_02_Project_Info[Response], MATCH(1, (TBL_ADD_02_Project_Info[Lot]=TBL_DATA_01_Lot_Info[[#This Row],[Lot]])*(TBL_ADD_02_Project_Info[Ref]=M$1), 0)), ""), "N/A"), "N/A")</f>
        <v>N/A</v>
      </c>
      <c r="N6" s="413" t="str">
        <f t="array" ref="N6">IFERROR(IF(TBL_DATA_01_Lot_Info[[#This Row],[Include?]]="Yes", IF(INDEX(TBL_ADD_02_Project_Info[Response], MATCH(1, (TBL_ADD_02_Project_Info[Lot]=TBL_DATA_01_Lot_Info[[#This Row],[Lot]])*(TBL_ADD_02_Project_Info[Ref]=N$1), 0))&lt;&gt;"", INDEX(TBL_ADD_02_Project_Info[Response], MATCH(1, (TBL_ADD_02_Project_Info[Lot]=TBL_DATA_01_Lot_Info[[#This Row],[Lot]])*(TBL_ADD_02_Project_Info[Ref]=N$1), 0)), ""), "N/A"), "N/A")</f>
        <v>N/A</v>
      </c>
      <c r="O6" s="413" t="str">
        <f t="array" ref="O6">IFERROR(IF(TBL_DATA_01_Lot_Info[[#This Row],[Include?]]="Yes", IF(INDEX(TBL_ADD_02_Project_Info[Response], MATCH(1, (TBL_ADD_02_Project_Info[Lot]=TBL_DATA_01_Lot_Info[[#This Row],[Lot]])*(TBL_ADD_02_Project_Info[Ref]=O$1), 0))&lt;&gt;"", INDEX(TBL_ADD_02_Project_Info[Response], MATCH(1, (TBL_ADD_02_Project_Info[Lot]=TBL_DATA_01_Lot_Info[[#This Row],[Lot]])*(TBL_ADD_02_Project_Info[Ref]=O$1), 0)), ""), "N/A"), "N/A")</f>
        <v>N/A</v>
      </c>
      <c r="P6" s="413" t="str">
        <f t="array" ref="P6">IFERROR(IF(TBL_DATA_01_Lot_Info[[#This Row],[Include?]]="Yes", IF(INDEX(TBL_ADD_02_Project_Info[Response], MATCH(1, (TBL_ADD_02_Project_Info[Lot]=TBL_DATA_01_Lot_Info[[#This Row],[Lot]])*(TBL_ADD_02_Project_Info[Ref]=P$1), 0))&lt;&gt;"", INDEX(TBL_ADD_02_Project_Info[Response], MATCH(1, (TBL_ADD_02_Project_Info[Lot]=TBL_DATA_01_Lot_Info[[#This Row],[Lot]])*(TBL_ADD_02_Project_Info[Ref]=P$1), 0)), ""), "N/A"), "N/A")</f>
        <v>N/A</v>
      </c>
      <c r="Q6" s="413" t="str">
        <f t="array" ref="Q6">IFERROR(IF(TBL_DATA_01_Lot_Info[[#This Row],[Include?]]="Yes", IF(INDEX(TBL_ADD_02_Project_Info[Response], MATCH(1, (TBL_ADD_02_Project_Info[Lot]=TBL_DATA_01_Lot_Info[[#This Row],[Lot]])*(TBL_ADD_02_Project_Info[Ref]=Q$1), 0))&lt;&gt;"", INDEX(TBL_ADD_02_Project_Info[Response], MATCH(1, (TBL_ADD_02_Project_Info[Lot]=TBL_DATA_01_Lot_Info[[#This Row],[Lot]])*(TBL_ADD_02_Project_Info[Ref]=Q$1), 0)), ""), "N/A"), "N/A")</f>
        <v>N/A</v>
      </c>
      <c r="R6" s="413" t="str">
        <f t="array" ref="R6">IFERROR(IF(TBL_DATA_01_Lot_Info[[#This Row],[Include?]]="Yes", IF(INDEX(TBL_ADD_02_Project_Info[Response], MATCH(1, (TBL_ADD_02_Project_Info[Lot]=TBL_DATA_01_Lot_Info[[#This Row],[Lot]])*(TBL_ADD_02_Project_Info[Ref]=R$1), 0))&lt;&gt;"", INDEX(TBL_ADD_02_Project_Info[Response], MATCH(1, (TBL_ADD_02_Project_Info[Lot]=TBL_DATA_01_Lot_Info[[#This Row],[Lot]])*(TBL_ADD_02_Project_Info[Ref]=R$1), 0)), ""), "N/A"), "N/A")</f>
        <v>N/A</v>
      </c>
      <c r="S6" s="413" t="str">
        <f t="array" ref="S6">IFERROR(IF(TBL_DATA_01_Lot_Info[[#This Row],[Include?]]="Yes", IF(INDEX(TBL_ADD_02_Project_Info[Response], MATCH(1, (TBL_ADD_02_Project_Info[Lot]=TBL_DATA_01_Lot_Info[[#This Row],[Lot]])*(TBL_ADD_02_Project_Info[Ref]=S$1), 0))&lt;&gt;"", INDEX(TBL_ADD_02_Project_Info[Response], MATCH(1, (TBL_ADD_02_Project_Info[Lot]=TBL_DATA_01_Lot_Info[[#This Row],[Lot]])*(TBL_ADD_02_Project_Info[Ref]=S$1), 0)), ""), "N/A"), "N/A")</f>
        <v>N/A</v>
      </c>
    </row>
    <row r="7" spans="1:19" hidden="1">
      <c r="A7" s="411">
        <v>5</v>
      </c>
      <c r="B7" s="409" t="s">
        <v>350</v>
      </c>
      <c r="C7" s="373" t="str">
        <f>IF(OR(AND(REF_Lotted="No", TBL_DATA_01_Lot_Info[[#This Row],[No]]=0), AND(REF_Lotted="Yes", REF_No_Lots&gt;=TBL_DATA_01_Lot_Info[[#This Row],[No]])), "Yes", "No")</f>
        <v>No</v>
      </c>
      <c r="D7" s="408" t="str">
        <f t="array" ref="D7">IFERROR(IF(TBL_DATA_01_Lot_Info[[#This Row],[Include?]]="Yes", IF(INDEX(TBL_ADD_02_Project_Info[Response], MATCH(1, (TBL_ADD_02_Project_Info[Lot]=TBL_DATA_01_Lot_Info[[#This Row],[Lot]])*(TBL_ADD_02_Project_Info[Ref]=D$1), 0))&lt;&gt;"", INDEX(TBL_ADD_02_Project_Info[Response], MATCH(1, (TBL_ADD_02_Project_Info[Lot]=TBL_DATA_01_Lot_Info[[#This Row],[Lot]])*(TBL_ADD_02_Project_Info[Ref]=D$1), 0)), ""), "N/A"), "N/A")</f>
        <v>N/A</v>
      </c>
      <c r="E7" s="408" t="str">
        <f t="array" ref="E7">IFERROR(IF(TBL_DATA_01_Lot_Info[[#This Row],[Include?]]="Yes", IF(INDEX(TBL_ADD_02_Project_Info[Response], MATCH(1, (TBL_ADD_02_Project_Info[Lot]=TBL_DATA_01_Lot_Info[[#This Row],[Lot]])*(TBL_ADD_02_Project_Info[Ref]=E$1), 0))&lt;&gt;"", INDEX(TBL_ADD_02_Project_Info[Response], MATCH(1, (TBL_ADD_02_Project_Info[Lot]=TBL_DATA_01_Lot_Info[[#This Row],[Lot]])*(TBL_ADD_02_Project_Info[Ref]=E$1), 0)), ""), "N/A"), "N/A")</f>
        <v>N/A</v>
      </c>
      <c r="F7" s="408" t="str">
        <f t="array" ref="F7">IFERROR(IF(TBL_DATA_01_Lot_Info[[#This Row],[Include?]]="Yes", IF(INDEX(TBL_ADD_02_Project_Info[Response], MATCH(1, (TBL_ADD_02_Project_Info[Lot]=TBL_DATA_01_Lot_Info[[#This Row],[Lot]])*(TBL_ADD_02_Project_Info[Ref]=F$1), 0))&lt;&gt;"", INDEX(TBL_ADD_02_Project_Info[Response], MATCH(1, (TBL_ADD_02_Project_Info[Lot]=TBL_DATA_01_Lot_Info[[#This Row],[Lot]])*(TBL_ADD_02_Project_Info[Ref]=F$1), 0)), ""), "N/A"), "N/A")</f>
        <v>N/A</v>
      </c>
      <c r="G7" s="414" t="str">
        <f t="array" ref="G7">IFERROR(IF(TBL_DATA_01_Lot_Info[[#This Row],[Include?]]="Yes", IF(INDEX(TBL_ADD_02_Project_Info[Response], MATCH(1, (TBL_ADD_02_Project_Info[Lot]=TBL_DATA_01_Lot_Info[[#This Row],[Lot]])*(TBL_ADD_02_Project_Info[Ref]=G$1), 0))&lt;&gt;"", INDEX(TBL_ADD_02_Project_Info[Response], MATCH(1, (TBL_ADD_02_Project_Info[Lot]=TBL_DATA_01_Lot_Info[[#This Row],[Lot]])*(TBL_ADD_02_Project_Info[Ref]=G$1), 0)), ""), "N/A"), "N/A")</f>
        <v>N/A</v>
      </c>
      <c r="H7" s="408" t="str">
        <f t="array" ref="H7">IFERROR(IF(TBL_DATA_01_Lot_Info[[#This Row],[Include?]]="Yes", IF(INDEX(TBL_ADD_02_Project_Info[Response], MATCH(1, (TBL_ADD_02_Project_Info[Lot]=TBL_DATA_01_Lot_Info[[#This Row],[Lot]])*(TBL_ADD_02_Project_Info[Ref]=H$1), 0))&lt;&gt;"", INDEX(TBL_ADD_02_Project_Info[Response], MATCH(1, (TBL_ADD_02_Project_Info[Lot]=TBL_DATA_01_Lot_Info[[#This Row],[Lot]])*(TBL_ADD_02_Project_Info[Ref]=H$1), 0)), ""), "N/A"), "N/A")</f>
        <v>N/A</v>
      </c>
      <c r="I7" s="408" t="str">
        <f t="array" ref="I7">IFERROR(IF(TBL_DATA_01_Lot_Info[[#This Row],[Include?]]="Yes", IF(INDEX(TBL_ADD_02_Project_Info[Response], MATCH(1, (TBL_ADD_02_Project_Info[Lot]=TBL_DATA_01_Lot_Info[[#This Row],[Lot]])*(TBL_ADD_02_Project_Info[Ref]=I$1), 0))&lt;&gt;"", INDEX(TBL_ADD_02_Project_Info[Response], MATCH(1, (TBL_ADD_02_Project_Info[Lot]=TBL_DATA_01_Lot_Info[[#This Row],[Lot]])*(TBL_ADD_02_Project_Info[Ref]=I$1), 0)), ""), "N/A"), "N/A")</f>
        <v>N/A</v>
      </c>
      <c r="J7" s="412" t="str">
        <f t="array" ref="J7">IFERROR(IF(TBL_DATA_01_Lot_Info[[#This Row],[Include?]]="Yes", IF(INDEX(TBL_ADD_02_Project_Info[Response], MATCH(1, (TBL_ADD_02_Project_Info[Lot]=TBL_DATA_01_Lot_Info[[#This Row],[Lot]])*(TBL_ADD_02_Project_Info[Ref]=J$1), 0))&lt;&gt;"", INDEX(TBL_ADD_02_Project_Info[Response], MATCH(1, (TBL_ADD_02_Project_Info[Lot]=TBL_DATA_01_Lot_Info[[#This Row],[Lot]])*(TBL_ADD_02_Project_Info[Ref]=J$1), 0)), ""), "N/A"), "N/A")</f>
        <v>N/A</v>
      </c>
      <c r="K7" s="412" t="str">
        <f t="array" ref="K7">IFERROR(IF(TBL_DATA_01_Lot_Info[[#This Row],[Include?]]="Yes", IF(INDEX(TBL_ADD_02_Project_Info[Response], MATCH(1, (TBL_ADD_02_Project_Info[Lot]=TBL_DATA_01_Lot_Info[[#This Row],[Lot]])*(TBL_ADD_02_Project_Info[Ref]=K$1), 0))&lt;&gt;"", INDEX(TBL_ADD_02_Project_Info[Response], MATCH(1, (TBL_ADD_02_Project_Info[Lot]=TBL_DATA_01_Lot_Info[[#This Row],[Lot]])*(TBL_ADD_02_Project_Info[Ref]=K$1), 0)), ""), "N/A"), "N/A")</f>
        <v>N/A</v>
      </c>
      <c r="L7" s="413" t="str">
        <f t="array" ref="L7">IFERROR(IF(TBL_DATA_01_Lot_Info[[#This Row],[Include?]]="Yes", IF(INDEX(TBL_ADD_02_Project_Info[Response], MATCH(1, (TBL_ADD_02_Project_Info[Lot]=TBL_DATA_01_Lot_Info[[#This Row],[Lot]])*(TBL_ADD_02_Project_Info[Ref]=L$1), 0))&lt;&gt;"", INDEX(TBL_ADD_02_Project_Info[Response], MATCH(1, (TBL_ADD_02_Project_Info[Lot]=TBL_DATA_01_Lot_Info[[#This Row],[Lot]])*(TBL_ADD_02_Project_Info[Ref]=L$1), 0)), ""), "N/A"), "N/A")</f>
        <v>N/A</v>
      </c>
      <c r="M7" s="413" t="str">
        <f t="array" ref="M7">IFERROR(IF(TBL_DATA_01_Lot_Info[[#This Row],[Include?]]="Yes", IF(INDEX(TBL_ADD_02_Project_Info[Response], MATCH(1, (TBL_ADD_02_Project_Info[Lot]=TBL_DATA_01_Lot_Info[[#This Row],[Lot]])*(TBL_ADD_02_Project_Info[Ref]=M$1), 0))&lt;&gt;"", INDEX(TBL_ADD_02_Project_Info[Response], MATCH(1, (TBL_ADD_02_Project_Info[Lot]=TBL_DATA_01_Lot_Info[[#This Row],[Lot]])*(TBL_ADD_02_Project_Info[Ref]=M$1), 0)), ""), "N/A"), "N/A")</f>
        <v>N/A</v>
      </c>
      <c r="N7" s="413" t="str">
        <f t="array" ref="N7">IFERROR(IF(TBL_DATA_01_Lot_Info[[#This Row],[Include?]]="Yes", IF(INDEX(TBL_ADD_02_Project_Info[Response], MATCH(1, (TBL_ADD_02_Project_Info[Lot]=TBL_DATA_01_Lot_Info[[#This Row],[Lot]])*(TBL_ADD_02_Project_Info[Ref]=N$1), 0))&lt;&gt;"", INDEX(TBL_ADD_02_Project_Info[Response], MATCH(1, (TBL_ADD_02_Project_Info[Lot]=TBL_DATA_01_Lot_Info[[#This Row],[Lot]])*(TBL_ADD_02_Project_Info[Ref]=N$1), 0)), ""), "N/A"), "N/A")</f>
        <v>N/A</v>
      </c>
      <c r="O7" s="413" t="str">
        <f t="array" ref="O7">IFERROR(IF(TBL_DATA_01_Lot_Info[[#This Row],[Include?]]="Yes", IF(INDEX(TBL_ADD_02_Project_Info[Response], MATCH(1, (TBL_ADD_02_Project_Info[Lot]=TBL_DATA_01_Lot_Info[[#This Row],[Lot]])*(TBL_ADD_02_Project_Info[Ref]=O$1), 0))&lt;&gt;"", INDEX(TBL_ADD_02_Project_Info[Response], MATCH(1, (TBL_ADD_02_Project_Info[Lot]=TBL_DATA_01_Lot_Info[[#This Row],[Lot]])*(TBL_ADD_02_Project_Info[Ref]=O$1), 0)), ""), "N/A"), "N/A")</f>
        <v>N/A</v>
      </c>
      <c r="P7" s="413" t="str">
        <f t="array" ref="P7">IFERROR(IF(TBL_DATA_01_Lot_Info[[#This Row],[Include?]]="Yes", IF(INDEX(TBL_ADD_02_Project_Info[Response], MATCH(1, (TBL_ADD_02_Project_Info[Lot]=TBL_DATA_01_Lot_Info[[#This Row],[Lot]])*(TBL_ADD_02_Project_Info[Ref]=P$1), 0))&lt;&gt;"", INDEX(TBL_ADD_02_Project_Info[Response], MATCH(1, (TBL_ADD_02_Project_Info[Lot]=TBL_DATA_01_Lot_Info[[#This Row],[Lot]])*(TBL_ADD_02_Project_Info[Ref]=P$1), 0)), ""), "N/A"), "N/A")</f>
        <v>N/A</v>
      </c>
      <c r="Q7" s="413" t="str">
        <f t="array" ref="Q7">IFERROR(IF(TBL_DATA_01_Lot_Info[[#This Row],[Include?]]="Yes", IF(INDEX(TBL_ADD_02_Project_Info[Response], MATCH(1, (TBL_ADD_02_Project_Info[Lot]=TBL_DATA_01_Lot_Info[[#This Row],[Lot]])*(TBL_ADD_02_Project_Info[Ref]=Q$1), 0))&lt;&gt;"", INDEX(TBL_ADD_02_Project_Info[Response], MATCH(1, (TBL_ADD_02_Project_Info[Lot]=TBL_DATA_01_Lot_Info[[#This Row],[Lot]])*(TBL_ADD_02_Project_Info[Ref]=Q$1), 0)), ""), "N/A"), "N/A")</f>
        <v>N/A</v>
      </c>
      <c r="R7" s="413" t="str">
        <f t="array" ref="R7">IFERROR(IF(TBL_DATA_01_Lot_Info[[#This Row],[Include?]]="Yes", IF(INDEX(TBL_ADD_02_Project_Info[Response], MATCH(1, (TBL_ADD_02_Project_Info[Lot]=TBL_DATA_01_Lot_Info[[#This Row],[Lot]])*(TBL_ADD_02_Project_Info[Ref]=R$1), 0))&lt;&gt;"", INDEX(TBL_ADD_02_Project_Info[Response], MATCH(1, (TBL_ADD_02_Project_Info[Lot]=TBL_DATA_01_Lot_Info[[#This Row],[Lot]])*(TBL_ADD_02_Project_Info[Ref]=R$1), 0)), ""), "N/A"), "N/A")</f>
        <v>N/A</v>
      </c>
      <c r="S7" s="413" t="str">
        <f t="array" ref="S7">IFERROR(IF(TBL_DATA_01_Lot_Info[[#This Row],[Include?]]="Yes", IF(INDEX(TBL_ADD_02_Project_Info[Response], MATCH(1, (TBL_ADD_02_Project_Info[Lot]=TBL_DATA_01_Lot_Info[[#This Row],[Lot]])*(TBL_ADD_02_Project_Info[Ref]=S$1), 0))&lt;&gt;"", INDEX(TBL_ADD_02_Project_Info[Response], MATCH(1, (TBL_ADD_02_Project_Info[Lot]=TBL_DATA_01_Lot_Info[[#This Row],[Lot]])*(TBL_ADD_02_Project_Info[Ref]=S$1), 0)), ""), "N/A"), "N/A")</f>
        <v>N/A</v>
      </c>
    </row>
  </sheetData>
  <sheetProtection algorithmName="SHA-512" hashValue="MPi9XDbTPilWX/zDD34zqorHmiz80quup2gG4kZ3TWkd+XvLhvZ04EJ7sMZ6PLKrUpmdDquR/7/bm7yWQIo3pA==" saltValue="NqIpebwfGEMWYfwfKY67aw==" spinCount="100000" sheet="1" objects="1" scenarios="1"/>
  <phoneticPr fontId="106" type="noConversion"/>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849FA-0980-495B-9255-8B3363DEE751}">
  <sheetPr codeName="Sheet15"/>
  <dimension ref="A1:J7"/>
  <sheetViews>
    <sheetView topLeftCell="A8" workbookViewId="0">
      <selection activeCell="A7" sqref="A1:XFD7"/>
    </sheetView>
  </sheetViews>
  <sheetFormatPr defaultRowHeight="12.5"/>
  <cols>
    <col min="1" max="1" width="8.6328125" style="315"/>
    <col min="3" max="3" width="10.36328125" customWidth="1"/>
    <col min="4" max="4" width="11.453125" customWidth="1"/>
    <col min="5" max="5" width="14.6328125" customWidth="1"/>
    <col min="6" max="6" width="12.453125" customWidth="1"/>
    <col min="7" max="7" width="10.36328125" customWidth="1"/>
    <col min="8" max="8" width="13.36328125" customWidth="1"/>
    <col min="9" max="9" width="10.6328125" customWidth="1"/>
    <col min="10" max="10" width="13.6328125" customWidth="1"/>
  </cols>
  <sheetData>
    <row r="1" spans="1:10" hidden="1">
      <c r="A1" s="315" t="s">
        <v>320</v>
      </c>
      <c r="B1" t="s">
        <v>345</v>
      </c>
      <c r="C1" t="s">
        <v>324</v>
      </c>
      <c r="D1" t="s">
        <v>1925</v>
      </c>
      <c r="E1" t="s">
        <v>1926</v>
      </c>
      <c r="F1" t="s">
        <v>1927</v>
      </c>
      <c r="G1" t="s">
        <v>1928</v>
      </c>
      <c r="H1" t="s">
        <v>1929</v>
      </c>
      <c r="I1" t="s">
        <v>1930</v>
      </c>
      <c r="J1" t="s">
        <v>1931</v>
      </c>
    </row>
    <row r="2" spans="1:10" hidden="1">
      <c r="A2" s="315" t="s">
        <v>1800</v>
      </c>
      <c r="B2" s="315" t="s">
        <v>1800</v>
      </c>
      <c r="C2" s="315" t="str">
        <f>IF(TBL_DATA_02_Q_Info[[#This Row],[No]]="All", "Yes", IF(AND(REF_Lotted="Yes", REF_No_Lots&gt;=TBL_DATA_02_Q_Info[[#This Row],[No]]), "Yes", "No"))</f>
        <v>Yes</v>
      </c>
      <c r="D2" s="315">
        <f t="array" ref="D2">IF(TBL_DATA_02_Q_Info[[#This Row],[Include?]]="Yes", IFERROR(IF(INDEX(TBL_ADD_04_Qs_All[Weighting], MATCH(1, (TBL_ADD_04_Qs_All[Type]="Overview")*(TBL_ADD_04_Qs_All[Section]="Select"), 0))&lt;&gt;"", INDEX(TBL_ADD_04_Qs_All[Weighting], MATCH(1, (TBL_ADD_04_Qs_All[Type]="Overview")*(TBL_ADD_04_Qs_All[Section]="Select"), 0)), "N/A"), "N/A"), "N/A")</f>
        <v>3</v>
      </c>
      <c r="E2" s="404">
        <f t="array" ref="E2">IF(TBL_DATA_02_Q_Info[[#This Row],[Include?]]="Yes", IFERROR(IF(INDEX(TBL_ADD_04_Qs_All[No.subs], MATCH(1, (TBL_ADD_04_Qs_All[Type]="Overview")*(TBL_ADD_04_Qs_All[Section]="Select"), 0))&lt;&gt;"", INDEX(TBL_ADD_04_Qs_All[No.subs], MATCH(1, (TBL_ADD_04_Qs_All[Type]="Overview")*(TBL_ADD_04_Qs_All[Section]="Select"), 0)), "N/A"), "N/A"), "N/A")</f>
        <v>20</v>
      </c>
      <c r="F2" s="404">
        <f t="array" ref="F2">IF(TBL_DATA_02_Q_Info[[#This Row],[Include?]]="Yes", IFERROR(IF(INDEX(TBL_ADD_04_Qs_All[Max score], MATCH(1, (TBL_ADD_04_Qs_All[Type]="Overview")*(TBL_ADD_04_Qs_All[Section]="Select"), 0))&lt;&gt;"", INDEX(TBL_ADD_04_Qs_All[Max score], MATCH(1, (TBL_ADD_04_Qs_All[Type]="Overview")*(TBL_ADD_04_Qs_All[Section]="Select"), 0)), "N/A"), "N/A"), "N/A")</f>
        <v>10</v>
      </c>
      <c r="G2" s="315">
        <f t="array" ref="G2">IF(TBL_DATA_02_Q_Info[[#This Row],[Include?]]="Yes", IFERROR(IF(INDEX(TBL_ADD_04_Qs_All[Weighting], MATCH(1, (TBL_ADD_04_Qs_All[Type]="Overview")*(TBL_ADD_04_Qs_All[Section]="Tech"), 0))&lt;&gt;"", INDEX(TBL_ADD_04_Qs_All[Weighting], MATCH(1, (TBL_ADD_04_Qs_All[Type]="Overview")*(TBL_ADD_04_Qs_All[Section]="Tech"), 0)), "N/A"), "N/A"), "N/A")</f>
        <v>0</v>
      </c>
      <c r="H2" s="404">
        <f t="array" ref="H2">IF(TBL_DATA_02_Q_Info[[#This Row],[Include?]]="Yes", IFERROR(IF(INDEX(TBL_ADD_04_Qs_All[No.subs], MATCH(1, (TBL_ADD_04_Qs_All[Type]="Overview")*(TBL_ADD_04_Qs_All[Section]="Tech"), 0))&lt;&gt;"", INDEX(TBL_ADD_04_Qs_All[No.subs], MATCH(1, (TBL_ADD_04_Qs_All[Type]="Overview")*(TBL_ADD_04_Qs_All[Section]="Tech"), 0)), "N/A"), "N/A"), "N/A")</f>
        <v>0</v>
      </c>
      <c r="I2" s="315" t="str">
        <f t="array" ref="I2">IF(TBL_DATA_02_Q_Info[[#This Row],[Include?]]="Yes", IFERROR(IF(INDEX(TBL_ADD_04_Qs_All[Weighting], MATCH(1, (TBL_ADD_04_Qs_All[Type]="Overview")*(TBL_ADD_04_Qs_All[Section]="IntSV"), 0))&lt;&gt;"", INDEX(TBL_ADD_04_Qs_All[Weighting], MATCH(1, (TBL_ADD_04_Qs_All[Type]="Overview")*(TBL_ADD_04_Qs_All[Section]="IntSV"), 0)), "N/A"), "N/A"), "N/A")</f>
        <v>-</v>
      </c>
      <c r="J2" s="404" t="str">
        <f t="array" ref="J2">IF(TBL_DATA_02_Q_Info[[#This Row],[Include?]]="Yes", IFERROR(IF(INDEX(TBL_ADD_04_Qs_All[No.subs], MATCH(1, (TBL_ADD_04_Qs_All[Type]="Overview")*(TBL_ADD_04_Qs_All[Section]="IntSV"), 0))&lt;&gt;"", INDEX(TBL_ADD_04_Qs_All[No.subs], MATCH(1, (TBL_ADD_04_Qs_All[Type]="Overview")*(TBL_ADD_04_Qs_All[Section]="IntSV"), 0)), "N/A"), "N/A"), "N/A")</f>
        <v>-</v>
      </c>
    </row>
    <row r="3" spans="1:10" hidden="1">
      <c r="A3" s="315">
        <v>1</v>
      </c>
      <c r="B3" s="315" t="s">
        <v>346</v>
      </c>
      <c r="C3" s="315" t="str">
        <f>IF(TBL_DATA_02_Q_Info[[#This Row],[No]]="All", "Yes", IF(AND(REF_Lotted="Yes", REF_No_Lots&gt;=TBL_DATA_02_Q_Info[[#This Row],[No]]), "Yes", "No"))</f>
        <v>No</v>
      </c>
      <c r="D3" s="315" t="str">
        <f t="array" ref="D3">IF(TBL_DATA_02_Q_Info[[#This Row],[Include?]]="Yes", IFERROR(IF(INDEX(#REF!, MATCH(1, (#REF!="Overview")*(#REF!="Select"), 0))&lt;&gt;"", INDEX(#REF!, MATCH(1, (#REF!="Overview")*(#REF!="Select"), 0)), "N/A"), "N/A"), "N/A")</f>
        <v>N/A</v>
      </c>
      <c r="E3" s="404" t="str">
        <f t="array" ref="E3">IF(TBL_DATA_02_Q_Info[[#This Row],[Include?]]="Yes", IFERROR(IF(INDEX(#REF!, MATCH(1, (#REF!="Overview")*(#REF!="Select"), 0))&lt;&gt;"", INDEX(#REF!, MATCH(1, (#REF!="Overview")*(#REF!="Select"), 0)), "N/A"), "N/A"), "N/A")</f>
        <v>N/A</v>
      </c>
      <c r="F3" s="404" t="str">
        <f t="array" ref="F3">IF(TBL_DATA_02_Q_Info[[#This Row],[Include?]]="Yes", IFERROR(IF(INDEX(#REF!, MATCH(1, (#REF!="Overview")*(#REF!="Select"), 0))&lt;&gt;"", INDEX(#REF!, MATCH(1, (#REF!="Overview")*(#REF!="Select"), 0)), "N/A"), "N/A"), "N/A")</f>
        <v>N/A</v>
      </c>
      <c r="G3" s="315" t="str">
        <f t="array" ref="G3">IF(TBL_DATA_02_Q_Info[[#This Row],[Include?]]="Yes", IFERROR(IF(INDEX(#REF!, MATCH(1, (#REF!="Overview")*(#REF!="Tech"), 0))&lt;&gt;"", INDEX(#REF!, MATCH(1, (#REF!="Overview")*(#REF!="Tech"), 0)), "N/A"), "N/A"), "N/A")</f>
        <v>N/A</v>
      </c>
      <c r="H3" s="404" t="str">
        <f t="array" ref="H3">IF(TBL_DATA_02_Q_Info[[#This Row],[Include?]]="Yes", IFERROR(IF(INDEX(#REF!, MATCH(1, (#REF!="Overview")*(#REF!="Tech"), 0))&lt;&gt;"", INDEX(#REF!, MATCH(1, (#REF!="Overview")*(#REF!="Tech"), 0)), "N/A"), "N/A"), "N/A")</f>
        <v>N/A</v>
      </c>
      <c r="I3" s="315" t="str">
        <f t="array" ref="I3">IF(TBL_DATA_02_Q_Info[[#This Row],[Include?]]="Yes", IFERROR(IF(INDEX(#REF!, MATCH(1, (#REF!="Overview")*(#REF!="IntSV"), 0))&lt;&gt;"", INDEX(#REF!, MATCH(1, (#REF!="Overview")*(#REF!="IntSV"), 0)), "N/A"), "N/A"), "N/A")</f>
        <v>N/A</v>
      </c>
      <c r="J3" s="404" t="str">
        <f t="array" ref="J3">IF(TBL_DATA_02_Q_Info[[#This Row],[Include?]]="Yes", IFERROR(IF(INDEX(#REF!, MATCH(1, (#REF!="Overview")*(#REF!="IntSV"), 0))&lt;&gt;"", INDEX(#REF!, MATCH(1, (#REF!="Overview")*(#REF!="IntSV"), 0)), "N/A"), "N/A"), "N/A")</f>
        <v>N/A</v>
      </c>
    </row>
    <row r="4" spans="1:10" hidden="1">
      <c r="A4" s="315">
        <v>2</v>
      </c>
      <c r="B4" s="315" t="s">
        <v>349</v>
      </c>
      <c r="C4" s="315" t="str">
        <f>IF(TBL_DATA_02_Q_Info[[#This Row],[No]]="All", "Yes", IF(AND(REF_Lotted="Yes", REF_No_Lots&gt;=TBL_DATA_02_Q_Info[[#This Row],[No]]), "Yes", "No"))</f>
        <v>No</v>
      </c>
      <c r="D4" s="315" t="str">
        <f t="array" ref="D4">IF(TBL_DATA_02_Q_Info[[#This Row],[Include?]]="Yes", IFERROR(IF(INDEX(#REF!, MATCH(1, (#REF!="Overview")*(#REF!="Select"), 0))&lt;&gt;"", INDEX(#REF!, MATCH(1, (#REF!="Overview")*(#REF!="Select"), 0)), "N/A"), "N/A"), "N/A")</f>
        <v>N/A</v>
      </c>
      <c r="E4" s="404" t="str">
        <f t="array" ref="E4">IF(TBL_DATA_02_Q_Info[[#This Row],[Include?]]="Yes", IFERROR(IF(INDEX(#REF!, MATCH(1, (#REF!="Overview")*(#REF!="Select"), 0))&lt;&gt;"", INDEX(#REF!, MATCH(1, (#REF!="Overview")*(#REF!="Select"), 0)), "N/A"), "N/A"), "N/A")</f>
        <v>N/A</v>
      </c>
      <c r="F4" s="404" t="str">
        <f t="array" ref="F4">IF(TBL_DATA_02_Q_Info[[#This Row],[Include?]]="Yes", IFERROR(IF(INDEX(#REF!, MATCH(1, (#REF!="Overview")*(#REF!="Select"), 0))&lt;&gt;"", INDEX(#REF!, MATCH(1, (#REF!="Overview")*(#REF!="Select"), 0)), "N/A"), "N/A"), "N/A")</f>
        <v>N/A</v>
      </c>
      <c r="G4" s="315" t="str">
        <f t="array" ref="G4">IF(TBL_DATA_02_Q_Info[[#This Row],[Include?]]="Yes", IFERROR(IF(INDEX(#REF!, MATCH(1, (#REF!="Overview")*(#REF!="Tech"), 0))&lt;&gt;"", INDEX(#REF!, MATCH(1, (#REF!="Overview")*(#REF!="Tech"), 0)), "N/A"), "N/A"), "N/A")</f>
        <v>N/A</v>
      </c>
      <c r="H4" s="404" t="str">
        <f t="array" ref="H4">IF(TBL_DATA_02_Q_Info[[#This Row],[Include?]]="Yes", IFERROR(IF(INDEX(#REF!, MATCH(1, (#REF!="Overview")*(#REF!="Tech"), 0))&lt;&gt;"", INDEX(#REF!, MATCH(1, (#REF!="Overview")*(#REF!="Tech"), 0)), "N/A"), "N/A"), "N/A")</f>
        <v>N/A</v>
      </c>
      <c r="I4" s="315" t="str">
        <f t="array" ref="I4">IF(TBL_DATA_02_Q_Info[[#This Row],[Include?]]="Yes", IFERROR(IF(INDEX(#REF!, MATCH(1, (#REF!="Overview")*(#REF!="IntSV"), 0))&lt;&gt;"", INDEX(#REF!, MATCH(1, (#REF!="Overview")*(#REF!="IntSV"), 0)), "N/A"), "N/A"), "N/A")</f>
        <v>N/A</v>
      </c>
      <c r="J4" s="404" t="str">
        <f t="array" ref="J4">IF(TBL_DATA_02_Q_Info[[#This Row],[Include?]]="Yes", IFERROR(IF(INDEX(#REF!, MATCH(1, (#REF!="Overview")*(#REF!="IntSV"), 0))&lt;&gt;"", INDEX(#REF!, MATCH(1, (#REF!="Overview")*(#REF!="IntSV"), 0)), "N/A"), "N/A"), "N/A")</f>
        <v>N/A</v>
      </c>
    </row>
    <row r="5" spans="1:10" hidden="1">
      <c r="A5" s="315">
        <v>3</v>
      </c>
      <c r="B5" s="315" t="s">
        <v>352</v>
      </c>
      <c r="C5" s="315" t="str">
        <f>IF(TBL_DATA_02_Q_Info[[#This Row],[No]]="All", "Yes", IF(AND(REF_Lotted="Yes", REF_No_Lots&gt;=TBL_DATA_02_Q_Info[[#This Row],[No]]), "Yes", "No"))</f>
        <v>No</v>
      </c>
      <c r="D5" s="315" t="str">
        <f t="array" ref="D5">IF(TBL_DATA_02_Q_Info[[#This Row],[Include?]]="Yes", IFERROR(IF(INDEX(#REF!, MATCH(1, (#REF!="Overview")*(#REF!="Select"), 0))&lt;&gt;"", INDEX(#REF!, MATCH(1, (#REF!="Overview")*(#REF!="Select"), 0)), "N/A"), "N/A"), "N/A")</f>
        <v>N/A</v>
      </c>
      <c r="E5" s="404" t="str">
        <f t="array" ref="E5">IF(TBL_DATA_02_Q_Info[[#This Row],[Include?]]="Yes", IFERROR(IF(INDEX(#REF!, MATCH(1, (#REF!="Overview")*(#REF!="Select"), 0))&lt;&gt;"", INDEX(#REF!, MATCH(1, (#REF!="Overview")*(#REF!="Select"), 0)), "N/A"), "N/A"), "N/A")</f>
        <v>N/A</v>
      </c>
      <c r="F5" s="404" t="str">
        <f t="array" ref="F5">IF(TBL_DATA_02_Q_Info[[#This Row],[Include?]]="Yes", IFERROR(IF(INDEX(#REF!, MATCH(1, (#REF!="Overview")*(#REF!="Select"), 0))&lt;&gt;"", INDEX(#REF!, MATCH(1, (#REF!="Overview")*(#REF!="Select"), 0)), "N/A"), "N/A"), "N/A")</f>
        <v>N/A</v>
      </c>
      <c r="G5" s="315" t="str">
        <f t="array" ref="G5">IF(TBL_DATA_02_Q_Info[[#This Row],[Include?]]="Yes", IFERROR(IF(INDEX(#REF!, MATCH(1, (#REF!="Overview")*(#REF!="Tech"), 0))&lt;&gt;"", INDEX(#REF!, MATCH(1, (#REF!="Overview")*(#REF!="Tech"), 0)), "N/A"), "N/A"), "N/A")</f>
        <v>N/A</v>
      </c>
      <c r="H5" s="404" t="str">
        <f t="array" ref="H5">IF(TBL_DATA_02_Q_Info[[#This Row],[Include?]]="Yes", IFERROR(IF(INDEX(#REF!, MATCH(1, (#REF!="Overview")*(#REF!="Tech"), 0))&lt;&gt;"", INDEX(#REF!, MATCH(1, (#REF!="Overview")*(#REF!="Tech"), 0)), "N/A"), "N/A"), "N/A")</f>
        <v>N/A</v>
      </c>
      <c r="I5" s="315" t="str">
        <f t="array" ref="I5">IF(TBL_DATA_02_Q_Info[[#This Row],[Include?]]="Yes", IFERROR(IF(INDEX(#REF!, MATCH(1, (#REF!="Overview")*(#REF!="IntSV"), 0))&lt;&gt;"", INDEX(#REF!, MATCH(1, (#REF!="Overview")*(#REF!="IntSV"), 0)), "N/A"), "N/A"), "N/A")</f>
        <v>N/A</v>
      </c>
      <c r="J5" s="404" t="str">
        <f t="array" ref="J5">IF(TBL_DATA_02_Q_Info[[#This Row],[Include?]]="Yes", IFERROR(IF(INDEX(#REF!, MATCH(1, (#REF!="Overview")*(#REF!="IntSV"), 0))&lt;&gt;"", INDEX(#REF!, MATCH(1, (#REF!="Overview")*(#REF!="IntSV"), 0)), "N/A"), "N/A"), "N/A")</f>
        <v>N/A</v>
      </c>
    </row>
    <row r="6" spans="1:10" hidden="1">
      <c r="A6" s="315">
        <v>4</v>
      </c>
      <c r="B6" s="315" t="s">
        <v>351</v>
      </c>
      <c r="C6" s="315" t="str">
        <f>IF(TBL_DATA_02_Q_Info[[#This Row],[No]]="All", "Yes", IF(AND(REF_Lotted="Yes", REF_No_Lots&gt;=TBL_DATA_02_Q_Info[[#This Row],[No]]), "Yes", "No"))</f>
        <v>No</v>
      </c>
      <c r="D6" s="315" t="str">
        <f t="array" ref="D6">IF(TBL_DATA_02_Q_Info[[#This Row],[Include?]]="Yes", IFERROR(IF(INDEX(#REF!, MATCH(1, (#REF!="Overview")*(#REF!="Select"), 0))&lt;&gt;"", INDEX(#REF!, MATCH(1, (#REF!="Overview")*(#REF!="Select"), 0)), "N/A"), "N/A"), "N/A")</f>
        <v>N/A</v>
      </c>
      <c r="E6" s="404" t="str">
        <f t="array" ref="E6">IF(TBL_DATA_02_Q_Info[[#This Row],[Include?]]="Yes", IFERROR(IF(INDEX(#REF!, MATCH(1, (#REF!="Overview")*(#REF!="Select"), 0))&lt;&gt;"", INDEX(#REF!, MATCH(1, (#REF!="Overview")*(#REF!="Select"), 0)), "N/A"), "N/A"), "N/A")</f>
        <v>N/A</v>
      </c>
      <c r="F6" s="404" t="str">
        <f t="array" ref="F6">IF(TBL_DATA_02_Q_Info[[#This Row],[Include?]]="Yes", IFERROR(IF(INDEX(#REF!, MATCH(1, (#REF!="Overview")*(#REF!="Select"), 0))&lt;&gt;"", INDEX(#REF!, MATCH(1, (#REF!="Overview")*(#REF!="Select"), 0)), "N/A"), "N/A"), "N/A")</f>
        <v>N/A</v>
      </c>
      <c r="G6" s="315" t="str">
        <f t="array" ref="G6">IF(TBL_DATA_02_Q_Info[[#This Row],[Include?]]="Yes", IFERROR(IF(INDEX(#REF!, MATCH(1, (#REF!="Overview")*(#REF!="Tech"), 0))&lt;&gt;"", INDEX(#REF!, MATCH(1, (#REF!="Overview")*(#REF!="Tech"), 0)), "N/A"), "N/A"), "N/A")</f>
        <v>N/A</v>
      </c>
      <c r="H6" s="404" t="str">
        <f t="array" ref="H6">IF(TBL_DATA_02_Q_Info[[#This Row],[Include?]]="Yes", IFERROR(IF(INDEX(#REF!, MATCH(1, (#REF!="Overview")*(#REF!="Tech"), 0))&lt;&gt;"", INDEX(#REF!, MATCH(1, (#REF!="Overview")*(#REF!="Tech"), 0)), "N/A"), "N/A"), "N/A")</f>
        <v>N/A</v>
      </c>
      <c r="I6" s="315" t="str">
        <f t="array" ref="I6">IF(TBL_DATA_02_Q_Info[[#This Row],[Include?]]="Yes", IFERROR(IF(INDEX(#REF!, MATCH(1, (#REF!="Overview")*(#REF!="IntSV"), 0))&lt;&gt;"", INDEX(#REF!, MATCH(1, (#REF!="Overview")*(#REF!="IntSV"), 0)), "N/A"), "N/A"), "N/A")</f>
        <v>N/A</v>
      </c>
      <c r="J6" s="404" t="str">
        <f t="array" ref="J6">IF(TBL_DATA_02_Q_Info[[#This Row],[Include?]]="Yes", IFERROR(IF(INDEX(#REF!, MATCH(1, (#REF!="Overview")*(#REF!="IntSV"), 0))&lt;&gt;"", INDEX(#REF!, MATCH(1, (#REF!="Overview")*(#REF!="IntSV"), 0)), "N/A"), "N/A"), "N/A")</f>
        <v>N/A</v>
      </c>
    </row>
    <row r="7" spans="1:10" hidden="1">
      <c r="A7" s="315">
        <v>5</v>
      </c>
      <c r="B7" s="315" t="s">
        <v>350</v>
      </c>
      <c r="C7" s="315" t="str">
        <f>IF(TBL_DATA_02_Q_Info[[#This Row],[No]]="All", "Yes", IF(AND(REF_Lotted="Yes", REF_No_Lots&gt;=TBL_DATA_02_Q_Info[[#This Row],[No]]), "Yes", "No"))</f>
        <v>No</v>
      </c>
      <c r="D7" s="315" t="str">
        <f t="array" ref="D7">IF(TBL_DATA_02_Q_Info[[#This Row],[Include?]]="Yes", IFERROR(IF(INDEX(#REF!, MATCH(1, (#REF!="Overview")*(#REF!="Select"), 0))&lt;&gt;"", INDEX(#REF!, MATCH(1, (#REF!="Overview")*(#REF!="Select"), 0)), "N/A"), "N/A"), "N/A")</f>
        <v>N/A</v>
      </c>
      <c r="E7" s="404" t="str">
        <f t="array" ref="E7">IF(TBL_DATA_02_Q_Info[[#This Row],[Include?]]="Yes", IFERROR(IF(INDEX(#REF!, MATCH(1, (#REF!="Overview")*(#REF!="Select"), 0))&lt;&gt;"", INDEX(#REF!, MATCH(1, (#REF!="Overview")*(#REF!="Select"), 0)), "N/A"), "N/A"), "N/A")</f>
        <v>N/A</v>
      </c>
      <c r="F7" s="404" t="str">
        <f t="array" ref="F7">IF(TBL_DATA_02_Q_Info[[#This Row],[Include?]]="Yes", IFERROR(IF(INDEX(#REF!, MATCH(1, (#REF!="Overview")*(#REF!="Select"), 0))&lt;&gt;"", INDEX(#REF!, MATCH(1, (#REF!="Overview")*(#REF!="Select"), 0)), "N/A"), "N/A"), "N/A")</f>
        <v>N/A</v>
      </c>
      <c r="G7" s="315" t="str">
        <f t="array" ref="G7">IF(TBL_DATA_02_Q_Info[[#This Row],[Include?]]="Yes", IFERROR(IF(INDEX(#REF!, MATCH(1, (#REF!="Overview")*(#REF!="Tech"), 0))&lt;&gt;"", INDEX(#REF!, MATCH(1, (#REF!="Overview")*(#REF!="Tech"), 0)), "N/A"), "N/A"), "N/A")</f>
        <v>N/A</v>
      </c>
      <c r="H7" s="404" t="str">
        <f t="array" ref="H7">IF(TBL_DATA_02_Q_Info[[#This Row],[Include?]]="Yes", IFERROR(IF(INDEX(#REF!, MATCH(1, (#REF!="Overview")*(#REF!="Tech"), 0))&lt;&gt;"", INDEX(#REF!, MATCH(1, (#REF!="Overview")*(#REF!="Tech"), 0)), "N/A"), "N/A"), "N/A")</f>
        <v>N/A</v>
      </c>
      <c r="I7" s="315" t="str">
        <f t="array" ref="I7">IF(TBL_DATA_02_Q_Info[[#This Row],[Include?]]="Yes", IFERROR(IF(INDEX(#REF!, MATCH(1, (#REF!="Overview")*(#REF!="IntSV"), 0))&lt;&gt;"", INDEX(#REF!, MATCH(1, (#REF!="Overview")*(#REF!="IntSV"), 0)), "N/A"), "N/A"), "N/A")</f>
        <v>N/A</v>
      </c>
      <c r="J7" s="404" t="str">
        <f t="array" ref="J7">IF(TBL_DATA_02_Q_Info[[#This Row],[Include?]]="Yes", IFERROR(IF(INDEX(#REF!, MATCH(1, (#REF!="Overview")*(#REF!="IntSV"), 0))&lt;&gt;"", INDEX(#REF!, MATCH(1, (#REF!="Overview")*(#REF!="IntSV"), 0)), "N/A"), "N/A"), "N/A")</f>
        <v>N/A</v>
      </c>
    </row>
  </sheetData>
  <sheetProtection algorithmName="SHA-512" hashValue="i0jbevxCxz6QLGR405s1jSvOM3urbARIUmnP2gkZLCbADm8ZusJOxJeHYKTYJHQft6hApWZUHi8wNA+tmP4M0Q==" saltValue="H+ydVOqLMRoS38aPZJvOVw==" spinCount="100000" sheet="1" objects="1" scenarios="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DED46-0D87-466C-BF38-90EA2FCD8D87}">
  <dimension ref="A1:G61"/>
  <sheetViews>
    <sheetView topLeftCell="A62" workbookViewId="0">
      <selection activeCell="A62" sqref="A62"/>
    </sheetView>
  </sheetViews>
  <sheetFormatPr defaultRowHeight="12.5"/>
  <cols>
    <col min="3" max="3" width="10" customWidth="1"/>
    <col min="4" max="4" width="10" style="315" customWidth="1"/>
    <col min="5" max="5" width="9.36328125" bestFit="1" customWidth="1"/>
    <col min="6" max="6" width="37.6328125" customWidth="1"/>
    <col min="7" max="7" width="22.36328125" customWidth="1"/>
  </cols>
  <sheetData>
    <row r="1" spans="1:7" ht="13" hidden="1">
      <c r="A1" s="571" t="s">
        <v>320</v>
      </c>
      <c r="B1" s="572" t="s">
        <v>345</v>
      </c>
      <c r="C1" s="572" t="s">
        <v>324</v>
      </c>
      <c r="D1" s="571" t="s">
        <v>90</v>
      </c>
      <c r="E1" s="574" t="s">
        <v>2174</v>
      </c>
      <c r="F1" t="s">
        <v>2175</v>
      </c>
      <c r="G1" t="s">
        <v>2176</v>
      </c>
    </row>
    <row r="2" spans="1:7" hidden="1">
      <c r="A2" s="408" t="s">
        <v>1800</v>
      </c>
      <c r="B2" s="408" t="s">
        <v>1800</v>
      </c>
      <c r="C2" s="408" t="str">
        <f>IF(TBL_DATA_16_Price_Info[[#This Row],[No]]="All", "Yes", IF(AND(REF_Lotted="Yes", REF_No_Lots&gt;=TBL_DATA_16_Price_Info[[#This Row],[No]]), "Yes", "No"))</f>
        <v>Yes</v>
      </c>
      <c r="D2" s="408">
        <v>1</v>
      </c>
      <c r="E2" s="573">
        <f t="array" ref="E2">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10</v>
      </c>
      <c r="F2" s="408" t="str">
        <f t="array" ref="F2">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 xml:space="preserve">NHF Schedule of Rates Repairs Adjustment </v>
      </c>
      <c r="G2" s="408" t="str">
        <f t="array" ref="G2">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Repairs NHF</v>
      </c>
    </row>
    <row r="3" spans="1:7" hidden="1">
      <c r="A3" s="408" t="s">
        <v>1800</v>
      </c>
      <c r="B3" s="408" t="s">
        <v>1800</v>
      </c>
      <c r="C3" s="408" t="str">
        <f>IF(TBL_DATA_16_Price_Info[[#This Row],[No]]="All", "Yes", IF(AND(REF_Lotted="Yes", REF_No_Lots&gt;=TBL_DATA_16_Price_Info[[#This Row],[No]]), "Yes", "No"))</f>
        <v>Yes</v>
      </c>
      <c r="D3" s="408">
        <v>2</v>
      </c>
      <c r="E3" s="573">
        <f t="array" ref="E3">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2</v>
      </c>
      <c r="F3" s="408" t="str">
        <f t="array" ref="F3">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Electrics and Rewires Repairs Rates</v>
      </c>
      <c r="G3" s="408" t="str">
        <f t="array" ref="G3">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Repairs Electrics and Rewires Baskets</v>
      </c>
    </row>
    <row r="4" spans="1:7" hidden="1">
      <c r="A4" s="408" t="s">
        <v>1800</v>
      </c>
      <c r="B4" s="408" t="s">
        <v>1800</v>
      </c>
      <c r="C4" s="408" t="str">
        <f>IF(TBL_DATA_16_Price_Info[[#This Row],[No]]="All", "Yes", IF(AND(REF_Lotted="Yes", REF_No_Lots&gt;=TBL_DATA_16_Price_Info[[#This Row],[No]]), "Yes", "No"))</f>
        <v>Yes</v>
      </c>
      <c r="D4" s="408">
        <v>3</v>
      </c>
      <c r="E4" s="573">
        <f t="array" ref="E4">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5</v>
      </c>
      <c r="F4" s="408" t="str">
        <f t="array" ref="F4">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Decent Homes Repairs Rates</v>
      </c>
      <c r="G4" s="408" t="str">
        <f t="array" ref="G4">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Repairs Decent Homes Baskets</v>
      </c>
    </row>
    <row r="5" spans="1:7" hidden="1">
      <c r="A5" s="408" t="s">
        <v>1800</v>
      </c>
      <c r="B5" s="408" t="s">
        <v>1800</v>
      </c>
      <c r="C5" s="408" t="str">
        <f>IF(TBL_DATA_16_Price_Info[[#This Row],[No]]="All", "Yes", IF(AND(REF_Lotted="Yes", REF_No_Lots&gt;=TBL_DATA_16_Price_Info[[#This Row],[No]]), "Yes", "No"))</f>
        <v>Yes</v>
      </c>
      <c r="D5" s="408">
        <v>4</v>
      </c>
      <c r="E5" s="573">
        <f t="array" ref="E5">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9</v>
      </c>
      <c r="F5" s="408" t="str">
        <f t="array" ref="F5">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NHF Schedule of Rates Voids Adjustment</v>
      </c>
      <c r="G5" s="408" t="str">
        <f t="array" ref="G5">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Voids NHF</v>
      </c>
    </row>
    <row r="6" spans="1:7" hidden="1">
      <c r="A6" s="408" t="s">
        <v>1800</v>
      </c>
      <c r="B6" s="408" t="s">
        <v>1800</v>
      </c>
      <c r="C6" s="408" t="str">
        <f>IF(TBL_DATA_16_Price_Info[[#This Row],[No]]="All", "Yes", IF(AND(REF_Lotted="Yes", REF_No_Lots&gt;=TBL_DATA_16_Price_Info[[#This Row],[No]]), "Yes", "No"))</f>
        <v>Yes</v>
      </c>
      <c r="D6" s="408">
        <v>5</v>
      </c>
      <c r="E6" s="573">
        <f t="array" ref="E6">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9</v>
      </c>
      <c r="F6" s="408" t="str">
        <f t="array" ref="F6">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Voids Basket Rates</v>
      </c>
      <c r="G6" s="408" t="str">
        <f t="array" ref="G6">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Voids Baskets</v>
      </c>
    </row>
    <row r="7" spans="1:7" hidden="1">
      <c r="A7" s="408" t="s">
        <v>1800</v>
      </c>
      <c r="B7" s="408" t="s">
        <v>1800</v>
      </c>
      <c r="C7" s="408" t="str">
        <f>IF(TBL_DATA_16_Price_Info[[#This Row],[No]]="All", "Yes", IF(AND(REF_Lotted="Yes", REF_No_Lots&gt;=TBL_DATA_16_Price_Info[[#This Row],[No]]), "Yes", "No"))</f>
        <v>Yes</v>
      </c>
      <c r="D7" s="408">
        <v>6</v>
      </c>
      <c r="E7" s="573">
        <f t="array" ref="E7">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9</v>
      </c>
      <c r="F7" s="408" t="str">
        <f t="array" ref="F7">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Electrics and Rewires Voids Rates</v>
      </c>
      <c r="G7" s="408" t="str">
        <f t="array" ref="G7">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Voids Electrics and Rewires Baskets</v>
      </c>
    </row>
    <row r="8" spans="1:7" hidden="1">
      <c r="A8" s="408" t="s">
        <v>1800</v>
      </c>
      <c r="B8" s="408" t="s">
        <v>1800</v>
      </c>
      <c r="C8" s="408" t="str">
        <f>IF(TBL_DATA_16_Price_Info[[#This Row],[No]]="All", "Yes", IF(AND(REF_Lotted="Yes", REF_No_Lots&gt;=TBL_DATA_16_Price_Info[[#This Row],[No]]), "Yes", "No"))</f>
        <v>Yes</v>
      </c>
      <c r="D8" s="408">
        <v>7</v>
      </c>
      <c r="E8" s="573">
        <f t="array" ref="E8">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4</v>
      </c>
      <c r="F8" s="408" t="str">
        <f t="array" ref="F8">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Decent Homes Voids Rates</v>
      </c>
      <c r="G8" s="408" t="str">
        <f t="array" ref="G8">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Voids Decent Homes Baskets</v>
      </c>
    </row>
    <row r="9" spans="1:7" hidden="1">
      <c r="A9" s="408" t="s">
        <v>1800</v>
      </c>
      <c r="B9" s="408" t="s">
        <v>1800</v>
      </c>
      <c r="C9" s="408" t="str">
        <f>IF(TBL_DATA_16_Price_Info[[#This Row],[No]]="All", "Yes", IF(AND(REF_Lotted="Yes", REF_No_Lots&gt;=TBL_DATA_16_Price_Info[[#This Row],[No]]), "Yes", "No"))</f>
        <v>Yes</v>
      </c>
      <c r="D9" s="408">
        <v>8</v>
      </c>
      <c r="E9" s="573">
        <f t="array" ref="E9">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2</v>
      </c>
      <c r="F9" s="408" t="str">
        <f t="array" ref="F9">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Daywork Rates</v>
      </c>
      <c r="G9" s="408" t="str">
        <f t="array" ref="G9">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Daywork</v>
      </c>
    </row>
    <row r="10" spans="1:7" hidden="1">
      <c r="A10" s="408" t="s">
        <v>1800</v>
      </c>
      <c r="B10" s="408" t="s">
        <v>1800</v>
      </c>
      <c r="C10" s="408" t="str">
        <f>IF(TBL_DATA_16_Price_Info[[#This Row],[No]]="All", "Yes", IF(AND(REF_Lotted="Yes", REF_No_Lots&gt;=TBL_DATA_16_Price_Info[[#This Row],[No]]), "Yes", "No"))</f>
        <v>Yes</v>
      </c>
      <c r="D10" s="408">
        <v>9</v>
      </c>
      <c r="E10" s="573">
        <f t="array" ref="E10">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0</v>
      </c>
      <c r="F10" s="408" t="str">
        <f t="array" ref="F10">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Additional Rates</v>
      </c>
      <c r="G10" s="408" t="str">
        <f t="array" ref="G10">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 xml:space="preserve">Additional </v>
      </c>
    </row>
    <row r="11" spans="1:7" hidden="1">
      <c r="A11" s="408" t="s">
        <v>1800</v>
      </c>
      <c r="B11" s="408" t="s">
        <v>1800</v>
      </c>
      <c r="C11" s="408" t="str">
        <f>IF(TBL_DATA_16_Price_Info[[#This Row],[No]]="All", "Yes", IF(AND(REF_Lotted="Yes", REF_No_Lots&gt;=TBL_DATA_16_Price_Info[[#This Row],[No]]), "Yes", "No"))</f>
        <v>Yes</v>
      </c>
      <c r="D11" s="408">
        <v>10</v>
      </c>
      <c r="E11" s="573" t="str">
        <f t="array" ref="E11">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
      </c>
      <c r="F11" s="408" t="str">
        <f t="array" ref="F1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
      </c>
      <c r="G11" s="408" t="str">
        <f t="array" ref="G11">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
      </c>
    </row>
    <row r="12" spans="1:7" hidden="1">
      <c r="A12" s="408">
        <v>1</v>
      </c>
      <c r="B12" s="408" t="s">
        <v>346</v>
      </c>
      <c r="C12" s="408" t="str">
        <f>IF(TBL_DATA_16_Price_Info[[#This Row],[No]]="All", "Yes", IF(AND(REF_Lotted="Yes", REF_No_Lots&gt;=TBL_DATA_16_Price_Info[[#This Row],[No]]), "Yes", "No"))</f>
        <v>No</v>
      </c>
      <c r="D12" s="408">
        <v>1</v>
      </c>
      <c r="E12" s="573" t="str">
        <f t="array" ref="E12">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2" s="408" t="str">
        <f t="array" ref="F12">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2" s="408" t="str">
        <f t="array" ref="G12">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13" spans="1:7" hidden="1">
      <c r="A13" s="408">
        <v>1</v>
      </c>
      <c r="B13" s="408" t="s">
        <v>346</v>
      </c>
      <c r="C13" s="408" t="str">
        <f>IF(TBL_DATA_16_Price_Info[[#This Row],[No]]="All", "Yes", IF(AND(REF_Lotted="Yes", REF_No_Lots&gt;=TBL_DATA_16_Price_Info[[#This Row],[No]]), "Yes", "No"))</f>
        <v>No</v>
      </c>
      <c r="D13" s="408">
        <v>2</v>
      </c>
      <c r="E13" s="573" t="str">
        <f t="array" ref="E13">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3" s="408" t="str">
        <f t="array" ref="F13">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3" s="408" t="str">
        <f t="array" ref="G13">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14" spans="1:7" hidden="1">
      <c r="A14" s="408">
        <v>1</v>
      </c>
      <c r="B14" s="408" t="s">
        <v>346</v>
      </c>
      <c r="C14" s="408" t="str">
        <f>IF(TBL_DATA_16_Price_Info[[#This Row],[No]]="All", "Yes", IF(AND(REF_Lotted="Yes", REF_No_Lots&gt;=TBL_DATA_16_Price_Info[[#This Row],[No]]), "Yes", "No"))</f>
        <v>No</v>
      </c>
      <c r="D14" s="408">
        <v>3</v>
      </c>
      <c r="E14" s="573" t="str">
        <f t="array" ref="E14">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4" s="408" t="str">
        <f t="array" ref="F14">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4" s="408" t="str">
        <f t="array" ref="G14">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15" spans="1:7" hidden="1">
      <c r="A15" s="408">
        <v>1</v>
      </c>
      <c r="B15" s="408" t="s">
        <v>346</v>
      </c>
      <c r="C15" s="408" t="str">
        <f>IF(TBL_DATA_16_Price_Info[[#This Row],[No]]="All", "Yes", IF(AND(REF_Lotted="Yes", REF_No_Lots&gt;=TBL_DATA_16_Price_Info[[#This Row],[No]]), "Yes", "No"))</f>
        <v>No</v>
      </c>
      <c r="D15" s="408">
        <v>4</v>
      </c>
      <c r="E15" s="573" t="str">
        <f t="array" ref="E15">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5" s="408" t="str">
        <f t="array" ref="F15">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5" s="408" t="str">
        <f t="array" ref="G15">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16" spans="1:7" hidden="1">
      <c r="A16" s="408">
        <v>1</v>
      </c>
      <c r="B16" s="408" t="s">
        <v>346</v>
      </c>
      <c r="C16" s="408" t="str">
        <f>IF(TBL_DATA_16_Price_Info[[#This Row],[No]]="All", "Yes", IF(AND(REF_Lotted="Yes", REF_No_Lots&gt;=TBL_DATA_16_Price_Info[[#This Row],[No]]), "Yes", "No"))</f>
        <v>No</v>
      </c>
      <c r="D16" s="408">
        <v>5</v>
      </c>
      <c r="E16" s="573" t="str">
        <f t="array" ref="E16">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6" s="408" t="str">
        <f t="array" ref="F16">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6" s="408" t="str">
        <f t="array" ref="G16">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17" spans="1:7" hidden="1">
      <c r="A17" s="408">
        <v>1</v>
      </c>
      <c r="B17" s="408" t="s">
        <v>346</v>
      </c>
      <c r="C17" s="408" t="str">
        <f>IF(TBL_DATA_16_Price_Info[[#This Row],[No]]="All", "Yes", IF(AND(REF_Lotted="Yes", REF_No_Lots&gt;=TBL_DATA_16_Price_Info[[#This Row],[No]]), "Yes", "No"))</f>
        <v>No</v>
      </c>
      <c r="D17" s="408">
        <v>6</v>
      </c>
      <c r="E17" s="573" t="str">
        <f t="array" ref="E17">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7" s="408" t="str">
        <f t="array" ref="F17">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7" s="408" t="str">
        <f t="array" ref="G17">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18" spans="1:7" hidden="1">
      <c r="A18" s="408">
        <v>1</v>
      </c>
      <c r="B18" s="408" t="s">
        <v>346</v>
      </c>
      <c r="C18" s="408" t="str">
        <f>IF(TBL_DATA_16_Price_Info[[#This Row],[No]]="All", "Yes", IF(AND(REF_Lotted="Yes", REF_No_Lots&gt;=TBL_DATA_16_Price_Info[[#This Row],[No]]), "Yes", "No"))</f>
        <v>No</v>
      </c>
      <c r="D18" s="408">
        <v>7</v>
      </c>
      <c r="E18" s="573" t="str">
        <f t="array" ref="E18">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8" s="408" t="str">
        <f t="array" ref="F18">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8" s="408" t="str">
        <f t="array" ref="G18">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19" spans="1:7" hidden="1">
      <c r="A19" s="408">
        <v>1</v>
      </c>
      <c r="B19" s="408" t="s">
        <v>346</v>
      </c>
      <c r="C19" s="408" t="str">
        <f>IF(TBL_DATA_16_Price_Info[[#This Row],[No]]="All", "Yes", IF(AND(REF_Lotted="Yes", REF_No_Lots&gt;=TBL_DATA_16_Price_Info[[#This Row],[No]]), "Yes", "No"))</f>
        <v>No</v>
      </c>
      <c r="D19" s="408">
        <v>8</v>
      </c>
      <c r="E19" s="573" t="str">
        <f t="array" ref="E19">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19" s="408" t="str">
        <f t="array" ref="F19">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19" s="408" t="str">
        <f t="array" ref="G19">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0" spans="1:7" hidden="1">
      <c r="A20" s="408">
        <v>1</v>
      </c>
      <c r="B20" s="408" t="s">
        <v>346</v>
      </c>
      <c r="C20" s="408" t="str">
        <f>IF(TBL_DATA_16_Price_Info[[#This Row],[No]]="All", "Yes", IF(AND(REF_Lotted="Yes", REF_No_Lots&gt;=TBL_DATA_16_Price_Info[[#This Row],[No]]), "Yes", "No"))</f>
        <v>No</v>
      </c>
      <c r="D20" s="408">
        <v>9</v>
      </c>
      <c r="E20" s="573" t="str">
        <f t="array" ref="E20">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0" s="408" t="str">
        <f t="array" ref="F20">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0" s="408" t="str">
        <f t="array" ref="G20">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1" spans="1:7" hidden="1">
      <c r="A21" s="408">
        <v>1</v>
      </c>
      <c r="B21" s="408" t="s">
        <v>346</v>
      </c>
      <c r="C21" s="408" t="str">
        <f>IF(TBL_DATA_16_Price_Info[[#This Row],[No]]="All", "Yes", IF(AND(REF_Lotted="Yes", REF_No_Lots&gt;=TBL_DATA_16_Price_Info[[#This Row],[No]]), "Yes", "No"))</f>
        <v>No</v>
      </c>
      <c r="D21" s="408">
        <v>10</v>
      </c>
      <c r="E21" s="573" t="str">
        <f t="array" ref="E21">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1" s="408" t="str">
        <f t="array" ref="F2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1" s="408" t="str">
        <f t="array" ref="G21">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2" spans="1:7" hidden="1">
      <c r="A22" s="408">
        <v>2</v>
      </c>
      <c r="B22" s="408" t="s">
        <v>349</v>
      </c>
      <c r="C22" s="408" t="str">
        <f>IF(TBL_DATA_16_Price_Info[[#This Row],[No]]="All", "Yes", IF(AND(REF_Lotted="Yes", REF_No_Lots&gt;=TBL_DATA_16_Price_Info[[#This Row],[No]]), "Yes", "No"))</f>
        <v>No</v>
      </c>
      <c r="D22" s="408">
        <v>1</v>
      </c>
      <c r="E22" s="573" t="str">
        <f t="array" ref="E22">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2" s="408" t="str">
        <f t="array" ref="F22">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2" s="408" t="str">
        <f t="array" ref="G22">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3" spans="1:7" hidden="1">
      <c r="A23" s="408">
        <v>2</v>
      </c>
      <c r="B23" s="408" t="s">
        <v>349</v>
      </c>
      <c r="C23" s="408" t="str">
        <f>IF(TBL_DATA_16_Price_Info[[#This Row],[No]]="All", "Yes", IF(AND(REF_Lotted="Yes", REF_No_Lots&gt;=TBL_DATA_16_Price_Info[[#This Row],[No]]), "Yes", "No"))</f>
        <v>No</v>
      </c>
      <c r="D23" s="408">
        <v>2</v>
      </c>
      <c r="E23" s="573" t="str">
        <f t="array" ref="E23">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3" s="408" t="str">
        <f t="array" ref="F23">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3" s="408" t="str">
        <f t="array" ref="G23">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4" spans="1:7" hidden="1">
      <c r="A24" s="408">
        <v>2</v>
      </c>
      <c r="B24" s="408" t="s">
        <v>349</v>
      </c>
      <c r="C24" s="408" t="str">
        <f>IF(TBL_DATA_16_Price_Info[[#This Row],[No]]="All", "Yes", IF(AND(REF_Lotted="Yes", REF_No_Lots&gt;=TBL_DATA_16_Price_Info[[#This Row],[No]]), "Yes", "No"))</f>
        <v>No</v>
      </c>
      <c r="D24" s="408">
        <v>3</v>
      </c>
      <c r="E24" s="573" t="str">
        <f t="array" ref="E24">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4" s="408" t="str">
        <f t="array" ref="F24">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4" s="408" t="str">
        <f t="array" ref="G24">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5" spans="1:7" hidden="1">
      <c r="A25" s="408">
        <v>2</v>
      </c>
      <c r="B25" s="408" t="s">
        <v>349</v>
      </c>
      <c r="C25" s="408" t="str">
        <f>IF(TBL_DATA_16_Price_Info[[#This Row],[No]]="All", "Yes", IF(AND(REF_Lotted="Yes", REF_No_Lots&gt;=TBL_DATA_16_Price_Info[[#This Row],[No]]), "Yes", "No"))</f>
        <v>No</v>
      </c>
      <c r="D25" s="408">
        <v>4</v>
      </c>
      <c r="E25" s="573" t="str">
        <f t="array" ref="E25">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5" s="408" t="str">
        <f t="array" ref="F25">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5" s="408" t="str">
        <f t="array" ref="G25">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6" spans="1:7" hidden="1">
      <c r="A26" s="408">
        <v>2</v>
      </c>
      <c r="B26" s="408" t="s">
        <v>349</v>
      </c>
      <c r="C26" s="408" t="str">
        <f>IF(TBL_DATA_16_Price_Info[[#This Row],[No]]="All", "Yes", IF(AND(REF_Lotted="Yes", REF_No_Lots&gt;=TBL_DATA_16_Price_Info[[#This Row],[No]]), "Yes", "No"))</f>
        <v>No</v>
      </c>
      <c r="D26" s="408">
        <v>5</v>
      </c>
      <c r="E26" s="573" t="str">
        <f t="array" ref="E26">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6" s="408" t="str">
        <f t="array" ref="F26">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6" s="408" t="str">
        <f t="array" ref="G26">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7" spans="1:7" hidden="1">
      <c r="A27" s="408">
        <v>2</v>
      </c>
      <c r="B27" s="408" t="s">
        <v>349</v>
      </c>
      <c r="C27" s="408" t="str">
        <f>IF(TBL_DATA_16_Price_Info[[#This Row],[No]]="All", "Yes", IF(AND(REF_Lotted="Yes", REF_No_Lots&gt;=TBL_DATA_16_Price_Info[[#This Row],[No]]), "Yes", "No"))</f>
        <v>No</v>
      </c>
      <c r="D27" s="408">
        <v>6</v>
      </c>
      <c r="E27" s="573" t="str">
        <f t="array" ref="E27">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7" s="408" t="str">
        <f t="array" ref="F27">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7" s="408" t="str">
        <f t="array" ref="G27">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8" spans="1:7" hidden="1">
      <c r="A28" s="408">
        <v>2</v>
      </c>
      <c r="B28" s="408" t="s">
        <v>349</v>
      </c>
      <c r="C28" s="408" t="str">
        <f>IF(TBL_DATA_16_Price_Info[[#This Row],[No]]="All", "Yes", IF(AND(REF_Lotted="Yes", REF_No_Lots&gt;=TBL_DATA_16_Price_Info[[#This Row],[No]]), "Yes", "No"))</f>
        <v>No</v>
      </c>
      <c r="D28" s="408">
        <v>7</v>
      </c>
      <c r="E28" s="573" t="str">
        <f t="array" ref="E28">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8" s="408" t="str">
        <f t="array" ref="F28">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8" s="408" t="str">
        <f t="array" ref="G28">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29" spans="1:7" hidden="1">
      <c r="A29" s="408">
        <v>2</v>
      </c>
      <c r="B29" s="408" t="s">
        <v>349</v>
      </c>
      <c r="C29" s="408" t="str">
        <f>IF(TBL_DATA_16_Price_Info[[#This Row],[No]]="All", "Yes", IF(AND(REF_Lotted="Yes", REF_No_Lots&gt;=TBL_DATA_16_Price_Info[[#This Row],[No]]), "Yes", "No"))</f>
        <v>No</v>
      </c>
      <c r="D29" s="408">
        <v>8</v>
      </c>
      <c r="E29" s="573" t="str">
        <f t="array" ref="E29">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29" s="408" t="str">
        <f t="array" ref="F29">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29" s="408" t="str">
        <f t="array" ref="G29">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0" spans="1:7" hidden="1">
      <c r="A30" s="408">
        <v>2</v>
      </c>
      <c r="B30" s="408" t="s">
        <v>349</v>
      </c>
      <c r="C30" s="408" t="str">
        <f>IF(TBL_DATA_16_Price_Info[[#This Row],[No]]="All", "Yes", IF(AND(REF_Lotted="Yes", REF_No_Lots&gt;=TBL_DATA_16_Price_Info[[#This Row],[No]]), "Yes", "No"))</f>
        <v>No</v>
      </c>
      <c r="D30" s="408">
        <v>9</v>
      </c>
      <c r="E30" s="573" t="str">
        <f t="array" ref="E30">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0" s="408" t="str">
        <f t="array" ref="F30">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0" s="408" t="str">
        <f t="array" ref="G30">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1" spans="1:7" hidden="1">
      <c r="A31" s="408">
        <v>2</v>
      </c>
      <c r="B31" s="408" t="s">
        <v>349</v>
      </c>
      <c r="C31" s="409" t="str">
        <f>IF(TBL_DATA_16_Price_Info[[#This Row],[No]]="All", "Yes", IF(AND(REF_Lotted="Yes", REF_No_Lots&gt;=TBL_DATA_16_Price_Info[[#This Row],[No]]), "Yes", "No"))</f>
        <v>No</v>
      </c>
      <c r="D31" s="409">
        <v>10</v>
      </c>
      <c r="E31" s="573" t="str">
        <f t="array" ref="E31">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1" s="408" t="str">
        <f t="array" ref="F3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1" s="408" t="str">
        <f t="array" ref="G31">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2" spans="1:7" hidden="1">
      <c r="A32" s="408">
        <v>3</v>
      </c>
      <c r="B32" s="408" t="s">
        <v>352</v>
      </c>
      <c r="C32" s="408" t="str">
        <f>IF(TBL_DATA_16_Price_Info[[#This Row],[No]]="All", "Yes", IF(AND(REF_Lotted="Yes", REF_No_Lots&gt;=TBL_DATA_16_Price_Info[[#This Row],[No]]), "Yes", "No"))</f>
        <v>No</v>
      </c>
      <c r="D32" s="408">
        <v>1</v>
      </c>
      <c r="E32" s="573" t="str">
        <f t="array" ref="E32">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2" s="408" t="str">
        <f t="array" ref="F32">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2" s="408" t="str">
        <f t="array" ref="G32">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3" spans="1:7" hidden="1">
      <c r="A33" s="408">
        <v>3</v>
      </c>
      <c r="B33" s="408" t="s">
        <v>352</v>
      </c>
      <c r="C33" s="408" t="str">
        <f>IF(TBL_DATA_16_Price_Info[[#This Row],[No]]="All", "Yes", IF(AND(REF_Lotted="Yes", REF_No_Lots&gt;=TBL_DATA_16_Price_Info[[#This Row],[No]]), "Yes", "No"))</f>
        <v>No</v>
      </c>
      <c r="D33" s="408">
        <v>2</v>
      </c>
      <c r="E33" s="573" t="str">
        <f t="array" ref="E33">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3" s="408" t="str">
        <f t="array" ref="F33">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3" s="408" t="str">
        <f t="array" ref="G33">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4" spans="1:7" hidden="1">
      <c r="A34" s="408">
        <v>3</v>
      </c>
      <c r="B34" s="408" t="s">
        <v>352</v>
      </c>
      <c r="C34" s="408" t="str">
        <f>IF(TBL_DATA_16_Price_Info[[#This Row],[No]]="All", "Yes", IF(AND(REF_Lotted="Yes", REF_No_Lots&gt;=TBL_DATA_16_Price_Info[[#This Row],[No]]), "Yes", "No"))</f>
        <v>No</v>
      </c>
      <c r="D34" s="408">
        <v>3</v>
      </c>
      <c r="E34" s="573" t="str">
        <f t="array" ref="E34">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4" s="408" t="str">
        <f t="array" ref="F34">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4" s="408" t="str">
        <f t="array" ref="G34">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5" spans="1:7" hidden="1">
      <c r="A35" s="408">
        <v>3</v>
      </c>
      <c r="B35" s="408" t="s">
        <v>352</v>
      </c>
      <c r="C35" s="408" t="str">
        <f>IF(TBL_DATA_16_Price_Info[[#This Row],[No]]="All", "Yes", IF(AND(REF_Lotted="Yes", REF_No_Lots&gt;=TBL_DATA_16_Price_Info[[#This Row],[No]]), "Yes", "No"))</f>
        <v>No</v>
      </c>
      <c r="D35" s="408">
        <v>4</v>
      </c>
      <c r="E35" s="573" t="str">
        <f t="array" ref="E35">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5" s="408" t="str">
        <f t="array" ref="F35">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5" s="408" t="str">
        <f t="array" ref="G35">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6" spans="1:7" hidden="1">
      <c r="A36" s="408">
        <v>3</v>
      </c>
      <c r="B36" s="408" t="s">
        <v>352</v>
      </c>
      <c r="C36" s="408" t="str">
        <f>IF(TBL_DATA_16_Price_Info[[#This Row],[No]]="All", "Yes", IF(AND(REF_Lotted="Yes", REF_No_Lots&gt;=TBL_DATA_16_Price_Info[[#This Row],[No]]), "Yes", "No"))</f>
        <v>No</v>
      </c>
      <c r="D36" s="408">
        <v>5</v>
      </c>
      <c r="E36" s="573" t="str">
        <f t="array" ref="E36">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6" s="408" t="str">
        <f t="array" ref="F36">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6" s="408" t="str">
        <f t="array" ref="G36">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7" spans="1:7" hidden="1">
      <c r="A37" s="408">
        <v>3</v>
      </c>
      <c r="B37" s="408" t="s">
        <v>352</v>
      </c>
      <c r="C37" s="408" t="str">
        <f>IF(TBL_DATA_16_Price_Info[[#This Row],[No]]="All", "Yes", IF(AND(REF_Lotted="Yes", REF_No_Lots&gt;=TBL_DATA_16_Price_Info[[#This Row],[No]]), "Yes", "No"))</f>
        <v>No</v>
      </c>
      <c r="D37" s="408">
        <v>6</v>
      </c>
      <c r="E37" s="573" t="str">
        <f t="array" ref="E37">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7" s="408" t="str">
        <f t="array" ref="F37">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7" s="408" t="str">
        <f t="array" ref="G37">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8" spans="1:7" hidden="1">
      <c r="A38" s="408">
        <v>3</v>
      </c>
      <c r="B38" s="408" t="s">
        <v>352</v>
      </c>
      <c r="C38" s="408" t="str">
        <f>IF(TBL_DATA_16_Price_Info[[#This Row],[No]]="All", "Yes", IF(AND(REF_Lotted="Yes", REF_No_Lots&gt;=TBL_DATA_16_Price_Info[[#This Row],[No]]), "Yes", "No"))</f>
        <v>No</v>
      </c>
      <c r="D38" s="408">
        <v>7</v>
      </c>
      <c r="E38" s="573" t="str">
        <f t="array" ref="E38">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8" s="408" t="str">
        <f t="array" ref="F38">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8" s="408" t="str">
        <f t="array" ref="G38">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39" spans="1:7" hidden="1">
      <c r="A39" s="408">
        <v>3</v>
      </c>
      <c r="B39" s="408" t="s">
        <v>352</v>
      </c>
      <c r="C39" s="408" t="str">
        <f>IF(TBL_DATA_16_Price_Info[[#This Row],[No]]="All", "Yes", IF(AND(REF_Lotted="Yes", REF_No_Lots&gt;=TBL_DATA_16_Price_Info[[#This Row],[No]]), "Yes", "No"))</f>
        <v>No</v>
      </c>
      <c r="D39" s="408">
        <v>8</v>
      </c>
      <c r="E39" s="573" t="str">
        <f t="array" ref="E39">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39" s="408" t="str">
        <f t="array" ref="F39">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39" s="408" t="str">
        <f t="array" ref="G39">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0" spans="1:7" hidden="1">
      <c r="A40" s="408">
        <v>3</v>
      </c>
      <c r="B40" s="408" t="s">
        <v>352</v>
      </c>
      <c r="C40" s="408" t="str">
        <f>IF(TBL_DATA_16_Price_Info[[#This Row],[No]]="All", "Yes", IF(AND(REF_Lotted="Yes", REF_No_Lots&gt;=TBL_DATA_16_Price_Info[[#This Row],[No]]), "Yes", "No"))</f>
        <v>No</v>
      </c>
      <c r="D40" s="408">
        <v>9</v>
      </c>
      <c r="E40" s="573" t="str">
        <f t="array" ref="E40">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0" s="408" t="str">
        <f t="array" ref="F40">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0" s="408" t="str">
        <f t="array" ref="G40">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1" spans="1:7" hidden="1">
      <c r="A41" s="408">
        <v>3</v>
      </c>
      <c r="B41" s="408" t="s">
        <v>352</v>
      </c>
      <c r="C41" s="409" t="str">
        <f>IF(TBL_DATA_16_Price_Info[[#This Row],[No]]="All", "Yes", IF(AND(REF_Lotted="Yes", REF_No_Lots&gt;=TBL_DATA_16_Price_Info[[#This Row],[No]]), "Yes", "No"))</f>
        <v>No</v>
      </c>
      <c r="D41" s="409">
        <v>10</v>
      </c>
      <c r="E41" s="573" t="str">
        <f t="array" ref="E41">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1" s="408" t="str">
        <f t="array" ref="F4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1" s="408" t="str">
        <f t="array" ref="G41">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2" spans="1:7" hidden="1">
      <c r="A42" s="408">
        <v>4</v>
      </c>
      <c r="B42" s="408" t="s">
        <v>351</v>
      </c>
      <c r="C42" s="408" t="str">
        <f>IF(TBL_DATA_16_Price_Info[[#This Row],[No]]="All", "Yes", IF(AND(REF_Lotted="Yes", REF_No_Lots&gt;=TBL_DATA_16_Price_Info[[#This Row],[No]]), "Yes", "No"))</f>
        <v>No</v>
      </c>
      <c r="D42" s="408">
        <v>1</v>
      </c>
      <c r="E42" s="573" t="str">
        <f t="array" ref="E42">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2" s="408" t="str">
        <f t="array" ref="F42">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2" s="408" t="str">
        <f t="array" ref="G42">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3" spans="1:7" hidden="1">
      <c r="A43" s="408">
        <v>4</v>
      </c>
      <c r="B43" s="408" t="s">
        <v>351</v>
      </c>
      <c r="C43" s="408" t="str">
        <f>IF(TBL_DATA_16_Price_Info[[#This Row],[No]]="All", "Yes", IF(AND(REF_Lotted="Yes", REF_No_Lots&gt;=TBL_DATA_16_Price_Info[[#This Row],[No]]), "Yes", "No"))</f>
        <v>No</v>
      </c>
      <c r="D43" s="408">
        <v>2</v>
      </c>
      <c r="E43" s="573" t="str">
        <f t="array" ref="E43">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3" s="408" t="str">
        <f t="array" ref="F43">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3" s="408" t="str">
        <f t="array" ref="G43">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4" spans="1:7" hidden="1">
      <c r="A44" s="408">
        <v>4</v>
      </c>
      <c r="B44" s="408" t="s">
        <v>351</v>
      </c>
      <c r="C44" s="408" t="str">
        <f>IF(TBL_DATA_16_Price_Info[[#This Row],[No]]="All", "Yes", IF(AND(REF_Lotted="Yes", REF_No_Lots&gt;=TBL_DATA_16_Price_Info[[#This Row],[No]]), "Yes", "No"))</f>
        <v>No</v>
      </c>
      <c r="D44" s="408">
        <v>3</v>
      </c>
      <c r="E44" s="573" t="str">
        <f t="array" ref="E44">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4" s="408" t="str">
        <f t="array" ref="F44">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4" s="408" t="str">
        <f t="array" ref="G44">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5" spans="1:7" hidden="1">
      <c r="A45" s="408">
        <v>4</v>
      </c>
      <c r="B45" s="408" t="s">
        <v>351</v>
      </c>
      <c r="C45" s="408" t="str">
        <f>IF(TBL_DATA_16_Price_Info[[#This Row],[No]]="All", "Yes", IF(AND(REF_Lotted="Yes", REF_No_Lots&gt;=TBL_DATA_16_Price_Info[[#This Row],[No]]), "Yes", "No"))</f>
        <v>No</v>
      </c>
      <c r="D45" s="408">
        <v>4</v>
      </c>
      <c r="E45" s="573" t="str">
        <f t="array" ref="E45">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5" s="408" t="str">
        <f t="array" ref="F45">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5" s="408" t="str">
        <f t="array" ref="G45">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6" spans="1:7" hidden="1">
      <c r="A46" s="408">
        <v>4</v>
      </c>
      <c r="B46" s="408" t="s">
        <v>351</v>
      </c>
      <c r="C46" s="408" t="str">
        <f>IF(TBL_DATA_16_Price_Info[[#This Row],[No]]="All", "Yes", IF(AND(REF_Lotted="Yes", REF_No_Lots&gt;=TBL_DATA_16_Price_Info[[#This Row],[No]]), "Yes", "No"))</f>
        <v>No</v>
      </c>
      <c r="D46" s="408">
        <v>5</v>
      </c>
      <c r="E46" s="573" t="str">
        <f t="array" ref="E46">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6" s="408" t="str">
        <f t="array" ref="F46">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6" s="408" t="str">
        <f t="array" ref="G46">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7" spans="1:7" hidden="1">
      <c r="A47" s="408">
        <v>4</v>
      </c>
      <c r="B47" s="408" t="s">
        <v>351</v>
      </c>
      <c r="C47" s="408" t="str">
        <f>IF(TBL_DATA_16_Price_Info[[#This Row],[No]]="All", "Yes", IF(AND(REF_Lotted="Yes", REF_No_Lots&gt;=TBL_DATA_16_Price_Info[[#This Row],[No]]), "Yes", "No"))</f>
        <v>No</v>
      </c>
      <c r="D47" s="408">
        <v>6</v>
      </c>
      <c r="E47" s="573" t="str">
        <f t="array" ref="E47">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7" s="408" t="str">
        <f t="array" ref="F47">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7" s="408" t="str">
        <f t="array" ref="G47">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8" spans="1:7" hidden="1">
      <c r="A48" s="408">
        <v>4</v>
      </c>
      <c r="B48" s="408" t="s">
        <v>351</v>
      </c>
      <c r="C48" s="408" t="str">
        <f>IF(TBL_DATA_16_Price_Info[[#This Row],[No]]="All", "Yes", IF(AND(REF_Lotted="Yes", REF_No_Lots&gt;=TBL_DATA_16_Price_Info[[#This Row],[No]]), "Yes", "No"))</f>
        <v>No</v>
      </c>
      <c r="D48" s="408">
        <v>7</v>
      </c>
      <c r="E48" s="573" t="str">
        <f t="array" ref="E48">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8" s="408" t="str">
        <f t="array" ref="F48">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8" s="408" t="str">
        <f t="array" ref="G48">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49" spans="1:7" hidden="1">
      <c r="A49" s="408">
        <v>4</v>
      </c>
      <c r="B49" s="408" t="s">
        <v>351</v>
      </c>
      <c r="C49" s="408" t="str">
        <f>IF(TBL_DATA_16_Price_Info[[#This Row],[No]]="All", "Yes", IF(AND(REF_Lotted="Yes", REF_No_Lots&gt;=TBL_DATA_16_Price_Info[[#This Row],[No]]), "Yes", "No"))</f>
        <v>No</v>
      </c>
      <c r="D49" s="408">
        <v>8</v>
      </c>
      <c r="E49" s="573" t="str">
        <f t="array" ref="E49">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49" s="408" t="str">
        <f t="array" ref="F49">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49" s="408" t="str">
        <f t="array" ref="G49">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0" spans="1:7" hidden="1">
      <c r="A50" s="408">
        <v>4</v>
      </c>
      <c r="B50" s="408" t="s">
        <v>351</v>
      </c>
      <c r="C50" s="408" t="str">
        <f>IF(TBL_DATA_16_Price_Info[[#This Row],[No]]="All", "Yes", IF(AND(REF_Lotted="Yes", REF_No_Lots&gt;=TBL_DATA_16_Price_Info[[#This Row],[No]]), "Yes", "No"))</f>
        <v>No</v>
      </c>
      <c r="D50" s="408">
        <v>9</v>
      </c>
      <c r="E50" s="573" t="str">
        <f t="array" ref="E50">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0" s="408" t="str">
        <f t="array" ref="F50">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0" s="408" t="str">
        <f t="array" ref="G50">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1" spans="1:7" hidden="1">
      <c r="A51" s="408">
        <v>4</v>
      </c>
      <c r="B51" s="408" t="s">
        <v>351</v>
      </c>
      <c r="C51" s="408" t="str">
        <f>IF(TBL_DATA_16_Price_Info[[#This Row],[No]]="All", "Yes", IF(AND(REF_Lotted="Yes", REF_No_Lots&gt;=TBL_DATA_16_Price_Info[[#This Row],[No]]), "Yes", "No"))</f>
        <v>No</v>
      </c>
      <c r="D51" s="409">
        <v>10</v>
      </c>
      <c r="E51" s="573" t="str">
        <f t="array" ref="E51">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1" s="408" t="str">
        <f t="array" ref="F5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1" s="408" t="str">
        <f t="array" ref="G51">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2" spans="1:7" hidden="1">
      <c r="A52" s="408">
        <v>5</v>
      </c>
      <c r="B52" s="408" t="s">
        <v>350</v>
      </c>
      <c r="C52" s="408" t="str">
        <f>IF(TBL_DATA_16_Price_Info[[#This Row],[No]]="All", "Yes", IF(AND(REF_Lotted="Yes", REF_No_Lots&gt;=TBL_DATA_16_Price_Info[[#This Row],[No]]), "Yes", "No"))</f>
        <v>No</v>
      </c>
      <c r="D52" s="408">
        <v>1</v>
      </c>
      <c r="E52" s="573" t="str">
        <f t="array" ref="E52">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2" s="408" t="str">
        <f t="array" ref="F52">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2" s="408" t="str">
        <f t="array" ref="G52">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3" spans="1:7" hidden="1">
      <c r="A53" s="408">
        <v>5</v>
      </c>
      <c r="B53" s="408" t="s">
        <v>350</v>
      </c>
      <c r="C53" s="408" t="str">
        <f>IF(TBL_DATA_16_Price_Info[[#This Row],[No]]="All", "Yes", IF(AND(REF_Lotted="Yes", REF_No_Lots&gt;=TBL_DATA_16_Price_Info[[#This Row],[No]]), "Yes", "No"))</f>
        <v>No</v>
      </c>
      <c r="D53" s="408">
        <v>2</v>
      </c>
      <c r="E53" s="573" t="str">
        <f t="array" ref="E53">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3" s="408" t="str">
        <f t="array" ref="F53">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3" s="408" t="str">
        <f t="array" ref="G53">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4" spans="1:7" hidden="1">
      <c r="A54" s="408">
        <v>5</v>
      </c>
      <c r="B54" s="408" t="s">
        <v>350</v>
      </c>
      <c r="C54" s="408" t="str">
        <f>IF(TBL_DATA_16_Price_Info[[#This Row],[No]]="All", "Yes", IF(AND(REF_Lotted="Yes", REF_No_Lots&gt;=TBL_DATA_16_Price_Info[[#This Row],[No]]), "Yes", "No"))</f>
        <v>No</v>
      </c>
      <c r="D54" s="408">
        <v>3</v>
      </c>
      <c r="E54" s="573" t="str">
        <f t="array" ref="E54">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4" s="408" t="str">
        <f t="array" ref="F54">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4" s="408" t="str">
        <f t="array" ref="G54">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5" spans="1:7" hidden="1">
      <c r="A55" s="408">
        <v>5</v>
      </c>
      <c r="B55" s="408" t="s">
        <v>350</v>
      </c>
      <c r="C55" s="408" t="str">
        <f>IF(TBL_DATA_16_Price_Info[[#This Row],[No]]="All", "Yes", IF(AND(REF_Lotted="Yes", REF_No_Lots&gt;=TBL_DATA_16_Price_Info[[#This Row],[No]]), "Yes", "No"))</f>
        <v>No</v>
      </c>
      <c r="D55" s="408">
        <v>4</v>
      </c>
      <c r="E55" s="573" t="str">
        <f t="array" ref="E55">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5" s="408" t="str">
        <f t="array" ref="F55">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5" s="408" t="str">
        <f t="array" ref="G55">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6" spans="1:7" hidden="1">
      <c r="A56" s="408">
        <v>5</v>
      </c>
      <c r="B56" s="408" t="s">
        <v>350</v>
      </c>
      <c r="C56" s="408" t="str">
        <f>IF(TBL_DATA_16_Price_Info[[#This Row],[No]]="All", "Yes", IF(AND(REF_Lotted="Yes", REF_No_Lots&gt;=TBL_DATA_16_Price_Info[[#This Row],[No]]), "Yes", "No"))</f>
        <v>No</v>
      </c>
      <c r="D56" s="408">
        <v>5</v>
      </c>
      <c r="E56" s="573" t="str">
        <f t="array" ref="E56">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6" s="408" t="str">
        <f t="array" ref="F56">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6" s="408" t="str">
        <f t="array" ref="G56">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7" spans="1:7" hidden="1">
      <c r="A57" s="408">
        <v>5</v>
      </c>
      <c r="B57" s="408" t="s">
        <v>350</v>
      </c>
      <c r="C57" s="408" t="str">
        <f>IF(TBL_DATA_16_Price_Info[[#This Row],[No]]="All", "Yes", IF(AND(REF_Lotted="Yes", REF_No_Lots&gt;=TBL_DATA_16_Price_Info[[#This Row],[No]]), "Yes", "No"))</f>
        <v>No</v>
      </c>
      <c r="D57" s="408">
        <v>6</v>
      </c>
      <c r="E57" s="573" t="str">
        <f t="array" ref="E57">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7" s="408" t="str">
        <f t="array" ref="F57">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7" s="408" t="str">
        <f t="array" ref="G57">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8" spans="1:7" hidden="1">
      <c r="A58" s="408">
        <v>5</v>
      </c>
      <c r="B58" s="408" t="s">
        <v>350</v>
      </c>
      <c r="C58" s="408" t="str">
        <f>IF(TBL_DATA_16_Price_Info[[#This Row],[No]]="All", "Yes", IF(AND(REF_Lotted="Yes", REF_No_Lots&gt;=TBL_DATA_16_Price_Info[[#This Row],[No]]), "Yes", "No"))</f>
        <v>No</v>
      </c>
      <c r="D58" s="408">
        <v>7</v>
      </c>
      <c r="E58" s="573" t="str">
        <f t="array" ref="E58">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8" s="408" t="str">
        <f t="array" ref="F58">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8" s="408" t="str">
        <f t="array" ref="G58">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59" spans="1:7" hidden="1">
      <c r="A59" s="408">
        <v>5</v>
      </c>
      <c r="B59" s="408" t="s">
        <v>350</v>
      </c>
      <c r="C59" s="408" t="str">
        <f>IF(TBL_DATA_16_Price_Info[[#This Row],[No]]="All", "Yes", IF(AND(REF_Lotted="Yes", REF_No_Lots&gt;=TBL_DATA_16_Price_Info[[#This Row],[No]]), "Yes", "No"))</f>
        <v>No</v>
      </c>
      <c r="D59" s="408">
        <v>8</v>
      </c>
      <c r="E59" s="573" t="str">
        <f t="array" ref="E59">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59" s="408" t="str">
        <f t="array" ref="F59">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59" s="408" t="str">
        <f t="array" ref="G59">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60" spans="1:7" hidden="1">
      <c r="A60" s="408">
        <v>5</v>
      </c>
      <c r="B60" s="408" t="s">
        <v>350</v>
      </c>
      <c r="C60" s="408" t="str">
        <f>IF(TBL_DATA_16_Price_Info[[#This Row],[No]]="All", "Yes", IF(AND(REF_Lotted="Yes", REF_No_Lots&gt;=TBL_DATA_16_Price_Info[[#This Row],[No]]), "Yes", "No"))</f>
        <v>No</v>
      </c>
      <c r="D60" s="408">
        <v>9</v>
      </c>
      <c r="E60" s="573" t="str">
        <f t="array" ref="E60">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60" s="408" t="str">
        <f t="array" ref="F60">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60" s="408" t="str">
        <f t="array" ref="G60">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row r="61" spans="1:7" hidden="1">
      <c r="A61" s="408">
        <v>5</v>
      </c>
      <c r="B61" s="408" t="s">
        <v>350</v>
      </c>
      <c r="C61" s="408" t="str">
        <f>IF(TBL_DATA_16_Price_Info[[#This Row],[No]]="All", "Yes", IF(AND(REF_Lotted="Yes", REF_No_Lots&gt;=TBL_DATA_16_Price_Info[[#This Row],[No]]), "Yes", "No"))</f>
        <v>No</v>
      </c>
      <c r="D61" s="409">
        <v>10</v>
      </c>
      <c r="E61" s="573" t="str">
        <f t="array" ref="E61">IF(TBL_DATA_16_Price_Info[[#This Row],[Include?]]="Yes", IFERROR(_xlfn.IFS(
TBL_DATA_16_Price_Info[[#This Row],[Lot]]="All", IF(INDEX(TBL_ADD_05_Prices_All[Maximum points available], MATCH(1, (TBL_ADD_05_Prices_All[Ref]=TBL_DATA_16_Price_Info[[#This Row],[Ref]])*(TBL_ADD_05_Prices_All[Check_1]=""), 0))&lt;&gt;"", INDEX(TBL_ADD_05_Prices_All[Maximum points available],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F61" s="408" t="str">
        <f t="array" ref="F61">IF(TBL_DATA_16_Price_Info[[#This Row],[Include?]]="Yes", IFERROR(_xlfn.IFS(
TBL_DATA_16_Price_Info[[#This Row],[Lot]]="All", IF(INDEX(TBL_ADD_05_Prices_All[Description], MATCH(1, (TBL_ADD_05_Prices_All[Ref]=TBL_DATA_16_Price_Info[[#This Row],[Ref]])*(TBL_ADD_05_Prices_All[Check_1]=""), 0))&lt;&gt;"", INDEX(TBL_ADD_05_Prices_All[Description],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c r="G61" s="408" t="str">
        <f t="array" ref="G61">IF(TBL_DATA_16_Price_Info[[#This Row],[Include?]]="Yes", IFERROR(_xlfn.IFS(
TBL_DATA_16_Price_Info[[#This Row],[Lot]]="All", IF(INDEX(TBL_ADD_05_Prices_All[Abbreviated description], MATCH(1, (TBL_ADD_05_Prices_All[Ref]=TBL_DATA_16_Price_Info[[#This Row],[Ref]])*(TBL_ADD_05_Prices_All[Check_1]=""), 0))&lt;&gt;"", INDEX(TBL_ADD_05_Prices_All[Abbreviated description], MATCH(1, (TBL_ADD_05_Prices_All[Ref]=TBL_DATA_16_Price_Info[[#This Row],[Ref]])*(TBL_ADD_05_Prices_All[Check_1]=""), 0)), ""),
TBL_DATA_16_Price_Info[[#This Row],[Lot]]="Lot_1", IF(INDEX(#REF!, MATCH(1, (#REF!=TBL_DATA_16_Price_Info[[#This Row],[Ref]])*(#REF!=""), 0))&lt;&gt;"", INDEX(#REF!, MATCH(1, (#REF!=TBL_DATA_16_Price_Info[[#This Row],[Ref]])*(#REF!=""), 0)), ""),
TBL_DATA_16_Price_Info[[#This Row],[Lot]]="Lot_2", IF(INDEX(#REF!, MATCH(1, (#REF!=TBL_DATA_16_Price_Info[[#This Row],[Ref]])*(#REF!=""), 0))&lt;&gt;"", INDEX(#REF!, MATCH(1, (#REF!=TBL_DATA_16_Price_Info[[#This Row],[Ref]])*(#REF!=""), 0)), ""),
TBL_DATA_16_Price_Info[[#This Row],[Lot]]="Lot_3", IF(INDEX(#REF!, MATCH(1, (#REF!=TBL_DATA_16_Price_Info[[#This Row],[Ref]])*(#REF!=""), 0))&lt;&gt;"", INDEX(#REF!, MATCH(1, (#REF!=TBL_DATA_16_Price_Info[[#This Row],[Ref]])*(#REF!=""), 0)), ""),
TBL_DATA_16_Price_Info[[#This Row],[Lot]]="Lot_4", IF(INDEX(#REF!, MATCH(1, (#REF!=TBL_DATA_16_Price_Info[[#This Row],[Ref]])*(#REF!=""), 0))&lt;&gt;"", INDEX(#REF!, MATCH(1, (#REF!=TBL_DATA_16_Price_Info[[#This Row],[Ref]])*(#REF!=""), 0)), ""),
TBL_DATA_16_Price_Info[[#This Row],[Lot]]="Lot_5", IF(INDEX(#REF!, MATCH(1, (#REF!=TBL_DATA_16_Price_Info[[#This Row],[Ref]])*(#REF!=""), 0))&lt;&gt;"", INDEX(#REF!, MATCH(1, (#REF!=TBL_DATA_16_Price_Info[[#This Row],[Ref]])*(#REF!=""), 0)), "")),
"N/A"), "N/A")</f>
        <v>N/A</v>
      </c>
    </row>
  </sheetData>
  <sheetProtection algorithmName="SHA-512" hashValue="Tc2VzHgsFtO/DWOgIGvalKYaOTAfduJjBBUOK5paijmwPItmeFzW9vNGCkRixH7z0g0cfPasucsrWHnz1Paquw==" saltValue="hmpPjjjSSuOIbMiA1A57iQ==" spinCount="100000" sheet="1" objects="1" scenarios="1"/>
  <phoneticPr fontId="106" type="noConversion"/>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642E5-D9AB-47F7-AD41-F747818F7841}">
  <sheetPr codeName="Sheet40">
    <tabColor rgb="FFFFFF00"/>
  </sheetPr>
  <dimension ref="A1:H16"/>
  <sheetViews>
    <sheetView workbookViewId="0">
      <selection activeCell="E13" sqref="E13"/>
    </sheetView>
  </sheetViews>
  <sheetFormatPr defaultColWidth="8.6328125" defaultRowHeight="12.5"/>
  <cols>
    <col min="1" max="2" width="10.36328125" style="100" customWidth="1"/>
    <col min="3" max="3" width="7.36328125" style="100" customWidth="1"/>
    <col min="4" max="4" width="54.36328125" style="100" customWidth="1"/>
    <col min="5" max="5" width="18" style="534" customWidth="1"/>
    <col min="6" max="6" width="34.08984375" style="100" customWidth="1"/>
    <col min="7" max="8" width="8.6328125" customWidth="1"/>
    <col min="9" max="16384" width="8.6328125" style="100"/>
  </cols>
  <sheetData>
    <row r="1" spans="1:8" ht="17.5">
      <c r="C1" s="422" t="s">
        <v>2093</v>
      </c>
    </row>
    <row r="3" spans="1:8" s="114" customFormat="1" ht="13">
      <c r="A3" s="575" t="str">
        <f>IF(REF_Lotted="No", "", IF(REF_Doc_Lot="All", "Shade", ""))</f>
        <v/>
      </c>
      <c r="C3" s="543" t="str">
        <f t="array" ref="C3">IF(REF_Lotted="Yes", IF(REF_Doc_Lot="All", "Ignore this row", CONCATENATE(SUBSTITUTE(REF_Doc_Lot, "_", " "), ":  ", INDEX(TBL_DATA_00_Doc_Merge[Lot_1_Name], MATCH(1,(REF_Doc_Lot=TBL_DATA_00_Doc_Merge[Lot])*(REF_Job_No=TBL_DATA_00_Doc_Merge[Job_No]),0)))), CONCATENATE(SUBSTITUTE(REF_Doc_Lot, "_", " "), ":  ", INDEX(TBL_DATA_00_Doc_Merge[Lot_1_Name], MATCH(1,(REF_Doc_Lot=TBL_DATA_00_Doc_Merge[Lot])*(REF_Job_No=TBL_DATA_00_Doc_Merge[Job_No]),0))))</f>
        <v>All:  N/A</v>
      </c>
      <c r="D3" s="203"/>
      <c r="E3" s="203"/>
      <c r="F3" s="576" t="s">
        <v>480</v>
      </c>
      <c r="G3" s="298"/>
      <c r="H3" s="298"/>
    </row>
    <row r="4" spans="1:8" ht="26">
      <c r="A4" s="539" t="s">
        <v>1348</v>
      </c>
      <c r="B4" s="539" t="s">
        <v>1349</v>
      </c>
      <c r="C4" s="528" t="s">
        <v>90</v>
      </c>
      <c r="D4" s="529" t="s">
        <v>91</v>
      </c>
      <c r="E4" s="535" t="s">
        <v>481</v>
      </c>
      <c r="F4" s="530" t="s">
        <v>482</v>
      </c>
    </row>
    <row r="5" spans="1:8">
      <c r="A5" s="100" t="str">
        <f>IF(TBL_ADD_05_Prices_All[[#This Row],[Description]]&lt;&gt;"", IF(REF_Lotted="No", IF(OR(TBL_ADD_05_Prices_All[[#This Row],[Maximum points available]]=0, TBL_ADD_05_Prices_All[[#This Row],[Maximum points available]]&lt;&gt;""), "", "Add"), "Shade"), "")</f>
        <v/>
      </c>
      <c r="B5" s="100" t="str">
        <f>IF(TBL_ADD_05_Prices_All[[#This Row],[Check_1]]="Shade", "", IF(TBL_ADD_05_Prices_All[[#This Row],[Description]]&lt;&gt;"", IF(TBL_ADD_05_Prices_All[[#This Row],[Abbreviated description]]&lt;&gt;"", "", "Add"), ""))</f>
        <v/>
      </c>
      <c r="C5" s="527">
        <v>1</v>
      </c>
      <c r="D5" s="401" t="s">
        <v>2634</v>
      </c>
      <c r="E5" s="590">
        <v>10</v>
      </c>
      <c r="F5" s="589" t="s">
        <v>2642</v>
      </c>
    </row>
    <row r="6" spans="1:8">
      <c r="A6" s="100" t="str">
        <f>IF(TBL_ADD_05_Prices_All[[#This Row],[Description]]&lt;&gt;"", IF(REF_Lotted="No", IF(OR(TBL_ADD_05_Prices_All[[#This Row],[Maximum points available]]=0, TBL_ADD_05_Prices_All[[#This Row],[Maximum points available]]&lt;&gt;""), "", "Add"), "Shade"), "")</f>
        <v/>
      </c>
      <c r="B6" s="100" t="str">
        <f>IF(TBL_ADD_05_Prices_All[[#This Row],[Check_1]]="Shade", "", IF(TBL_ADD_05_Prices_All[[#This Row],[Description]]&lt;&gt;"", IF(TBL_ADD_05_Prices_All[[#This Row],[Abbreviated description]]&lt;&gt;"", "", "Add"), ""))</f>
        <v/>
      </c>
      <c r="C6" s="527">
        <v>2</v>
      </c>
      <c r="D6" s="401" t="s">
        <v>2636</v>
      </c>
      <c r="E6" s="590">
        <v>2</v>
      </c>
      <c r="F6" s="589" t="s">
        <v>2643</v>
      </c>
    </row>
    <row r="7" spans="1:8">
      <c r="A7" s="100" t="str">
        <f>IF(TBL_ADD_05_Prices_All[[#This Row],[Description]]&lt;&gt;"", IF(REF_Lotted="No", IF(OR(TBL_ADD_05_Prices_All[[#This Row],[Maximum points available]]=0, TBL_ADD_05_Prices_All[[#This Row],[Maximum points available]]&lt;&gt;""), "", "Add"), "Shade"), "")</f>
        <v/>
      </c>
      <c r="B7" s="100" t="str">
        <f>IF(TBL_ADD_05_Prices_All[[#This Row],[Check_1]]="Shade", "", IF(TBL_ADD_05_Prices_All[[#This Row],[Description]]&lt;&gt;"", IF(TBL_ADD_05_Prices_All[[#This Row],[Abbreviated description]]&lt;&gt;"", "", "Add"), ""))</f>
        <v/>
      </c>
      <c r="C7" s="527">
        <v>3</v>
      </c>
      <c r="D7" s="401" t="s">
        <v>2638</v>
      </c>
      <c r="E7" s="590">
        <v>5</v>
      </c>
      <c r="F7" s="589" t="s">
        <v>2644</v>
      </c>
    </row>
    <row r="8" spans="1:8">
      <c r="A8" s="100" t="str">
        <f>IF(TBL_ADD_05_Prices_All[[#This Row],[Description]]&lt;&gt;"", IF(REF_Lotted="No", IF(OR(TBL_ADD_05_Prices_All[[#This Row],[Maximum points available]]=0, TBL_ADD_05_Prices_All[[#This Row],[Maximum points available]]&lt;&gt;""), "", "Add"), "Shade"), "")</f>
        <v/>
      </c>
      <c r="B8" s="100" t="str">
        <f>IF(TBL_ADD_05_Prices_All[[#This Row],[Check_1]]="Shade", "", IF(TBL_ADD_05_Prices_All[[#This Row],[Description]]&lt;&gt;"", IF(TBL_ADD_05_Prices_All[[#This Row],[Abbreviated description]]&lt;&gt;"", "", "Add"), ""))</f>
        <v/>
      </c>
      <c r="C8" s="527">
        <v>4</v>
      </c>
      <c r="D8" s="401" t="s">
        <v>2635</v>
      </c>
      <c r="E8" s="590">
        <v>9</v>
      </c>
      <c r="F8" s="589" t="s">
        <v>2645</v>
      </c>
    </row>
    <row r="9" spans="1:8">
      <c r="A9" s="100" t="str">
        <f>IF(TBL_ADD_05_Prices_All[[#This Row],[Description]]&lt;&gt;"", IF(REF_Lotted="No", IF(OR(TBL_ADD_05_Prices_All[[#This Row],[Maximum points available]]=0, TBL_ADD_05_Prices_All[[#This Row],[Maximum points available]]&lt;&gt;""), "", "Add"), "Shade"), "")</f>
        <v/>
      </c>
      <c r="B9" s="100" t="str">
        <f>IF(TBL_ADD_05_Prices_All[[#This Row],[Check_1]]="Shade", "", IF(TBL_ADD_05_Prices_All[[#This Row],[Description]]&lt;&gt;"", IF(TBL_ADD_05_Prices_All[[#This Row],[Abbreviated description]]&lt;&gt;"", "", "Add"), ""))</f>
        <v/>
      </c>
      <c r="C9" s="527">
        <v>5</v>
      </c>
      <c r="D9" s="401" t="s">
        <v>2595</v>
      </c>
      <c r="E9" s="590">
        <v>9</v>
      </c>
      <c r="F9" s="589" t="s">
        <v>2646</v>
      </c>
    </row>
    <row r="10" spans="1:8">
      <c r="A10" s="100" t="str">
        <f>IF(TBL_ADD_05_Prices_All[[#This Row],[Description]]&lt;&gt;"", IF(REF_Lotted="No", IF(OR(TBL_ADD_05_Prices_All[[#This Row],[Maximum points available]]=0, TBL_ADD_05_Prices_All[[#This Row],[Maximum points available]]&lt;&gt;""), "", "Add"), "Shade"), "")</f>
        <v/>
      </c>
      <c r="B10" s="100" t="str">
        <f>IF(TBL_ADD_05_Prices_All[[#This Row],[Check_1]]="Shade", "", IF(TBL_ADD_05_Prices_All[[#This Row],[Description]]&lt;&gt;"", IF(TBL_ADD_05_Prices_All[[#This Row],[Abbreviated description]]&lt;&gt;"", "", "Add"), ""))</f>
        <v/>
      </c>
      <c r="C10" s="527">
        <v>6</v>
      </c>
      <c r="D10" s="401" t="s">
        <v>2637</v>
      </c>
      <c r="E10" s="590">
        <v>9</v>
      </c>
      <c r="F10" s="589" t="s">
        <v>2647</v>
      </c>
    </row>
    <row r="11" spans="1:8">
      <c r="A11" s="100" t="str">
        <f>IF(TBL_ADD_05_Prices_All[[#This Row],[Description]]&lt;&gt;"", IF(REF_Lotted="No", IF(OR(TBL_ADD_05_Prices_All[[#This Row],[Maximum points available]]=0, TBL_ADD_05_Prices_All[[#This Row],[Maximum points available]]&lt;&gt;""), "", "Add"), "Shade"), "")</f>
        <v/>
      </c>
      <c r="B11" s="100" t="str">
        <f>IF(TBL_ADD_05_Prices_All[[#This Row],[Check_1]]="Shade", "", IF(TBL_ADD_05_Prices_All[[#This Row],[Description]]&lt;&gt;"", IF(TBL_ADD_05_Prices_All[[#This Row],[Abbreviated description]]&lt;&gt;"", "", "Add"), ""))</f>
        <v/>
      </c>
      <c r="C11" s="527">
        <v>7</v>
      </c>
      <c r="D11" s="401" t="s">
        <v>2639</v>
      </c>
      <c r="E11" s="590">
        <v>4</v>
      </c>
      <c r="F11" s="589" t="s">
        <v>2648</v>
      </c>
    </row>
    <row r="12" spans="1:8">
      <c r="A12" s="100" t="str">
        <f>IF(TBL_ADD_05_Prices_All[[#This Row],[Description]]&lt;&gt;"", IF(REF_Lotted="No", IF(OR(TBL_ADD_05_Prices_All[[#This Row],[Maximum points available]]=0, TBL_ADD_05_Prices_All[[#This Row],[Maximum points available]]&lt;&gt;""), "", "Add"), "Shade"), "")</f>
        <v/>
      </c>
      <c r="B12" s="100" t="str">
        <f>IF(TBL_ADD_05_Prices_All[[#This Row],[Check_1]]="Shade", "", IF(TBL_ADD_05_Prices_All[[#This Row],[Description]]&lt;&gt;"", IF(TBL_ADD_05_Prices_All[[#This Row],[Abbreviated description]]&lt;&gt;"", "", "Add"), ""))</f>
        <v/>
      </c>
      <c r="C12" s="527">
        <v>8</v>
      </c>
      <c r="D12" s="401" t="s">
        <v>2246</v>
      </c>
      <c r="E12" s="590">
        <v>2</v>
      </c>
      <c r="F12" s="589" t="s">
        <v>2339</v>
      </c>
    </row>
    <row r="13" spans="1:8">
      <c r="A13" s="100" t="str">
        <f>IF(TBL_ADD_05_Prices_All[[#This Row],[Description]]&lt;&gt;"", IF(REF_Lotted="No", IF(OR(TBL_ADD_05_Prices_All[[#This Row],[Maximum points available]]=0, TBL_ADD_05_Prices_All[[#This Row],[Maximum points available]]&lt;&gt;""), "", "Add"), "Shade"), "")</f>
        <v/>
      </c>
      <c r="B13" s="100" t="str">
        <f>IF(TBL_ADD_05_Prices_All[[#This Row],[Check_1]]="Shade", "", IF(TBL_ADD_05_Prices_All[[#This Row],[Description]]&lt;&gt;"", IF(TBL_ADD_05_Prices_All[[#This Row],[Abbreviated description]]&lt;&gt;"", "", "Add"), ""))</f>
        <v/>
      </c>
      <c r="C13" s="527">
        <v>9</v>
      </c>
      <c r="D13" s="401" t="s">
        <v>2247</v>
      </c>
      <c r="E13" s="536">
        <v>0</v>
      </c>
      <c r="F13" s="589" t="s">
        <v>2649</v>
      </c>
    </row>
    <row r="14" spans="1:8">
      <c r="A14" s="100" t="str">
        <f>IF(TBL_ADD_05_Prices_All[[#This Row],[Description]]&lt;&gt;"", IF(REF_Lotted="No", IF(OR(TBL_ADD_05_Prices_All[[#This Row],[Maximum points available]]=0, TBL_ADD_05_Prices_All[[#This Row],[Maximum points available]]&lt;&gt;""), "", "Add"), "Shade"), "")</f>
        <v/>
      </c>
      <c r="B14" s="100" t="str">
        <f>IF(TBL_ADD_05_Prices_All[[#This Row],[Check_1]]="Shade", "", IF(TBL_ADD_05_Prices_All[[#This Row],[Description]]&lt;&gt;"", IF(TBL_ADD_05_Prices_All[[#This Row],[Abbreviated description]]&lt;&gt;"", "", "Add"), ""))</f>
        <v/>
      </c>
      <c r="C14" s="531">
        <v>10</v>
      </c>
      <c r="D14" s="532"/>
      <c r="E14" s="537"/>
      <c r="F14" s="533"/>
    </row>
    <row r="15" spans="1:8" ht="25.25" customHeight="1">
      <c r="A15" s="544" t="str">
        <f>IF(REF_Lotted="No", "", IF(REF_Doc_Lot="All", "Shade", ""))</f>
        <v/>
      </c>
      <c r="C15" s="209"/>
      <c r="D15" s="210" t="s">
        <v>397</v>
      </c>
      <c r="E15" s="538">
        <f>IF(A15="Shade", "N/A", IF(SUM(TBL_ADD_05_Prices_All[Maximum points available])=REF_Split_Price, SUM(TBL_ADD_05_Prices_All[Maximum points available]), "Error!"))</f>
        <v>50</v>
      </c>
      <c r="F15" s="211"/>
    </row>
    <row r="16" spans="1:8" ht="13">
      <c r="C16" s="540"/>
      <c r="D16" s="541"/>
      <c r="E16" s="542"/>
    </row>
  </sheetData>
  <sheetProtection formatRows="0"/>
  <protectedRanges>
    <protectedRange sqref="E5:F14 D5:D11 D13:D14" name="Range1"/>
  </protectedRanges>
  <phoneticPr fontId="106" type="noConversion"/>
  <conditionalFormatting sqref="D5:D11 D13:D14">
    <cfRule type="containsBlanks" dxfId="142" priority="10">
      <formula>LEN(TRIM(D5))=0</formula>
    </cfRule>
  </conditionalFormatting>
  <conditionalFormatting sqref="E1:E1048576">
    <cfRule type="expression" dxfId="141" priority="8">
      <formula>INDIRECT("A"&amp;ROW())="Add"</formula>
    </cfRule>
  </conditionalFormatting>
  <conditionalFormatting sqref="E1:F1048576">
    <cfRule type="expression" dxfId="140" priority="5">
      <formula>INDIRECT("A"&amp;ROW())="Shade"</formula>
    </cfRule>
  </conditionalFormatting>
  <conditionalFormatting sqref="F1:F1048576">
    <cfRule type="expression" dxfId="139" priority="6">
      <formula>INDIRECT("B"&amp;ROW())="Add"</formula>
    </cfRule>
  </conditionalFormatting>
  <dataValidations count="1">
    <dataValidation type="decimal" operator="greaterThanOrEqual" allowBlank="1" showInputMessage="1" showErrorMessage="1" sqref="E5:E14" xr:uid="{BA111550-5C01-4717-88B2-19A57BD2A609}">
      <formula1>0</formula1>
    </dataValidation>
  </dataValidations>
  <pageMargins left="0.7" right="0.7" top="0.75" bottom="0.75" header="0.3" footer="0.3"/>
  <pageSetup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379FD-A2EB-45CA-9008-70C987FD7486}">
  <sheetPr codeName="Sheet59">
    <tabColor rgb="FFFFFF00"/>
  </sheetPr>
  <dimension ref="A1:Y314"/>
  <sheetViews>
    <sheetView zoomScaleNormal="100" workbookViewId="0">
      <pane xSplit="2" ySplit="3" topLeftCell="C4" activePane="bottomRight" state="frozen"/>
      <selection activeCell="A3" sqref="A3"/>
      <selection pane="topRight" activeCell="A3" sqref="A3"/>
      <selection pane="bottomLeft" activeCell="A3" sqref="A3"/>
      <selection pane="bottomRight" activeCell="Z1" sqref="A1:Z1048576"/>
    </sheetView>
  </sheetViews>
  <sheetFormatPr defaultColWidth="9.08984375" defaultRowHeight="12.5"/>
  <cols>
    <col min="1" max="1" width="10.6328125" style="10" hidden="1" customWidth="1"/>
    <col min="2" max="2" width="86.6328125" style="10" hidden="1" customWidth="1"/>
    <col min="3" max="3" width="26.36328125" style="20" hidden="1" customWidth="1"/>
    <col min="4" max="5" width="18.90625" style="20" hidden="1" customWidth="1"/>
    <col min="6" max="6" width="13" style="20" hidden="1" customWidth="1"/>
    <col min="7" max="7" width="11.453125" style="20" hidden="1" customWidth="1"/>
    <col min="8" max="9" width="13.36328125" style="20" hidden="1" customWidth="1"/>
    <col min="10" max="10" width="11.36328125" style="10" hidden="1" customWidth="1"/>
    <col min="11" max="11" width="10" style="10" hidden="1" customWidth="1"/>
    <col min="12" max="12" width="11.90625" style="12" hidden="1" customWidth="1"/>
    <col min="13" max="13" width="11.6328125" style="12" hidden="1" customWidth="1"/>
    <col min="14" max="14" width="14" style="16" hidden="1" customWidth="1"/>
    <col min="15" max="15" width="52.08984375" style="16" hidden="1" customWidth="1"/>
    <col min="16" max="16" width="10.90625" style="16" hidden="1" customWidth="1"/>
    <col min="17" max="17" width="17" style="12" hidden="1" customWidth="1"/>
    <col min="18" max="19" width="17" style="26" hidden="1" customWidth="1"/>
    <col min="20" max="25" width="17" style="12" hidden="1" customWidth="1"/>
    <col min="26" max="26" width="0" style="12" hidden="1" customWidth="1"/>
    <col min="27" max="16384" width="9.08984375" style="12"/>
  </cols>
  <sheetData>
    <row r="1" spans="1:25" ht="17.5">
      <c r="A1" s="422" t="s">
        <v>2037</v>
      </c>
      <c r="O1" s="423"/>
      <c r="P1" s="423"/>
      <c r="Q1" s="14" t="s">
        <v>226</v>
      </c>
      <c r="R1" s="308" t="s">
        <v>2040</v>
      </c>
      <c r="S1" s="308" t="s">
        <v>2039</v>
      </c>
      <c r="T1" s="14" t="s">
        <v>120</v>
      </c>
      <c r="U1" s="14" t="s">
        <v>347</v>
      </c>
      <c r="V1" s="308" t="s">
        <v>2046</v>
      </c>
      <c r="W1" s="308" t="s">
        <v>2043</v>
      </c>
      <c r="X1" s="308" t="s">
        <v>2044</v>
      </c>
      <c r="Y1" s="308" t="s">
        <v>2045</v>
      </c>
    </row>
    <row r="2" spans="1:25">
      <c r="Q2" s="308" t="s">
        <v>2041</v>
      </c>
      <c r="R2" s="14" t="s">
        <v>227</v>
      </c>
      <c r="S2" s="14" t="s">
        <v>228</v>
      </c>
    </row>
    <row r="3" spans="1:25" s="14" customFormat="1" ht="13">
      <c r="A3" s="555" t="s">
        <v>130</v>
      </c>
      <c r="B3" s="555" t="s">
        <v>1309</v>
      </c>
      <c r="C3" s="556" t="s">
        <v>252</v>
      </c>
      <c r="D3" s="556" t="s">
        <v>338</v>
      </c>
      <c r="E3" s="556" t="s">
        <v>336</v>
      </c>
      <c r="F3" s="556" t="s">
        <v>335</v>
      </c>
      <c r="G3" s="556" t="s">
        <v>394</v>
      </c>
      <c r="H3" s="556" t="s">
        <v>333</v>
      </c>
      <c r="I3" s="556" t="s">
        <v>334</v>
      </c>
      <c r="J3" s="555" t="s">
        <v>330</v>
      </c>
      <c r="K3" s="556" t="s">
        <v>337</v>
      </c>
      <c r="L3" s="556" t="s">
        <v>567</v>
      </c>
      <c r="M3" s="556" t="s">
        <v>478</v>
      </c>
      <c r="N3" s="556" t="s">
        <v>477</v>
      </c>
      <c r="O3" s="555" t="s">
        <v>2042</v>
      </c>
      <c r="P3" s="23"/>
      <c r="R3" s="22"/>
      <c r="S3" s="22"/>
    </row>
    <row r="4" spans="1:25" s="25" customFormat="1" ht="15.5">
      <c r="A4" s="424" t="str">
        <f>IF(TBL_ADD_04_Qs_All[[#This Row],[Type]]="Question", K5, IF(TBL_ADD_04_Qs_All[[#This Row],[Sub_No]]="N/A", "-", CONCATENATE(TBL_ADD_04_Qs_All[[#This Row],[Q_No]], TBL_ADD_04_Qs_All[[#This Row],[Sub_No]])))</f>
        <v>-</v>
      </c>
      <c r="B4" s="429" t="str">
        <f>IF(TBL_ADD_04_Qs_All[[#This Row],[Required?]]="Yes", CONCATENATE("Part 3 - ", IF('Project Info'!$K$18="SA", "Section (6)", IF('Project Info'!$K$18="PAS", "Q6", "Section 6")), " questions"), "Section not used")</f>
        <v>Part 3 - Q6 questions</v>
      </c>
      <c r="C4"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 s="426" t="str">
        <f>IF(OR(TBL_ADD_04_Qs_All[[#This Row],[Type]]="Overview", TBL_ADD_04_Qs_All[[#This Row],[Type]]="Sub-question", TBL_ADD_04_Qs_All[[#This Row],[Required?]]="No", TBL_ADD_04_Qs_All[[#This Row],[Section]]="IntSV", TBL_ADD_04_Qs_All[[#This Row],[Question / Sub-question]]="Not used"), "-", "")</f>
        <v>-</v>
      </c>
      <c r="E4" s="426" t="str">
        <f>IF(OR(TBL_ADD_04_Qs_All[[#This Row],[Type]]="Overview", TBL_ADD_04_Qs_All[[#This Row],[Type]]="Sub-question", TBL_ADD_04_Qs_All[[#This Row],[Required?]]="No", TBL_ADD_04_Qs_All[[#This Row],[Section]]="IntSV", TBL_ADD_04_Qs_All[[#This Row],[Question / Sub-question]]="Not used"), "-", "")</f>
        <v>-</v>
      </c>
      <c r="F4" s="427" t="str">
        <f>IF(OR(TBL_ADD_04_Qs_All[[#This Row],[Required?]]="No", TBL_ADD_04_Qs_All[[#This Row],[Section]]="IntSV", TBL_ADD_04_Qs_All[[#This Row],[Question / Sub-question]]="Not used"), "N/A", IF(TBL_ADD_04_Qs_All[[#This Row],[Type]]="Question", TBL_ADD_04_Qs_All[[#This Row],[No.subs]]*500, "-"))</f>
        <v>-</v>
      </c>
      <c r="G4" s="426">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3</v>
      </c>
      <c r="H4"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20</v>
      </c>
      <c r="I4" s="526">
        <f t="array" ref="I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10</v>
      </c>
      <c r="J4" s="424" t="s">
        <v>331</v>
      </c>
      <c r="K4" s="426" t="s">
        <v>339</v>
      </c>
      <c r="L4" s="426" t="s">
        <v>24</v>
      </c>
      <c r="M4" s="426" t="s">
        <v>2159</v>
      </c>
      <c r="N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4" s="24"/>
      <c r="S4" s="24"/>
    </row>
    <row r="5" spans="1:25" s="14" customFormat="1" ht="52">
      <c r="A5" s="424" t="str">
        <f>IF(TBL_ADD_04_Qs_All[[#This Row],[Type]]="Question", K6, IF(TBL_ADD_04_Qs_All[[#This Row],[Sub_No]]="N/A", "-", CONCATENATE(TBL_ADD_04_Qs_All[[#This Row],[Q_No]], TBL_ADD_04_Qs_All[[#This Row],[Sub_No]])))</f>
        <v>Q6.1</v>
      </c>
      <c r="B5" s="429" t="str">
        <f>IF(TBL_ADD_04_Qs_All[[#This Row],[Required?]]="No", "Not used", CONCATENATE(Q1, IF('Project Info'!$K$15="works", S1, R1), IF(REF_CCS_Q="Yes", "  If you cannot provide examples, please submit a response to Q6.3 instead.", "")))</f>
        <v>Please provide details of up to three contracts, in any combination from either the public or private sector; voluntary, charity or social enterprise (VCSE) that are relevant to our requirement. VCSEs may include samples of grant-funded work.  Works contracts may be from the past five years.</v>
      </c>
      <c r="C5"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The maximum score for Q6.1 is 15.00 marks (3 elements x 5.00 marks)</v>
      </c>
      <c r="D5" s="426" t="str">
        <f>IF(OR(TBL_ADD_04_Qs_All[[#This Row],[Type]]="Overview", TBL_ADD_04_Qs_All[[#This Row],[Type]]="Sub-question", TBL_ADD_04_Qs_All[[#This Row],[Required?]]="No", TBL_ADD_04_Qs_All[[#This Row],[Section]]="IntSV", TBL_ADD_04_Qs_All[[#This Row],[Question / Sub-question]]="Not used"), "-", "")</f>
        <v/>
      </c>
      <c r="E5" s="426" t="str">
        <f>IF(OR(TBL_ADD_04_Qs_All[[#This Row],[Type]]="Overview", TBL_ADD_04_Qs_All[[#This Row],[Type]]="Sub-question", TBL_ADD_04_Qs_All[[#This Row],[Required?]]="No", TBL_ADD_04_Qs_All[[#This Row],[Section]]="IntSV", TBL_ADD_04_Qs_All[[#This Row],[Question / Sub-question]]="Not used"), "-", "")</f>
        <v/>
      </c>
      <c r="F5" s="427">
        <f>IF(OR(TBL_ADD_04_Qs_All[[#This Row],[Required?]]="No", TBL_ADD_04_Qs_All[[#This Row],[Section]]="IntSV", TBL_ADD_04_Qs_All[[#This Row],[Question / Sub-question]]="Not used"), "-", IF(TBL_ADD_04_Qs_All[[#This Row],[Type]]="Question", TBL_ADD_04_Qs_All[[#This Row],[No.subs]]*500, "-"))</f>
        <v>1500</v>
      </c>
      <c r="G5"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5"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3</v>
      </c>
      <c r="I5" s="426">
        <f t="array" ref="I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15</v>
      </c>
      <c r="J5" s="424" t="s">
        <v>146</v>
      </c>
      <c r="K5" s="426" t="s">
        <v>24</v>
      </c>
      <c r="L5" s="426" t="s">
        <v>24</v>
      </c>
      <c r="M5" s="426" t="s">
        <v>2159</v>
      </c>
      <c r="N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The response to Q6.1 should have a word count of not more than 1500 words.</v>
      </c>
    </row>
    <row r="6" spans="1:25" s="14" customFormat="1" ht="25">
      <c r="A6" s="424" t="str">
        <f>IF(TBL_ADD_04_Qs_All[[#This Row],[Type]]="Question", K7, IF(TBL_ADD_04_Qs_All[[#This Row],[Sub_No]]="N/A", "-", CONCATENATE(TBL_ADD_04_Qs_All[[#This Row],[Q_No]], TBL_ADD_04_Qs_All[[#This Row],[Sub_No]])))</f>
        <v>Q6.1.1</v>
      </c>
      <c r="B6" s="429" t="str">
        <f>IF(TBL_ADD_04_Qs_All[[#This Row],[Required?]]="No", "Not used", "Contract 1:  "&amp;$Q$2)</f>
        <v>Contract 1:  Contract details and brief description of the contract delivered including evidence as to your technical capability in this market</v>
      </c>
      <c r="C6" s="426">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5</v>
      </c>
      <c r="D6" s="426" t="str">
        <f>IF(OR(TBL_ADD_04_Qs_All[[#This Row],[Type]]="Overview", TBL_ADD_04_Qs_All[[#This Row],[Type]]="Sub-question", TBL_ADD_04_Qs_All[[#This Row],[Required?]]="No", TBL_ADD_04_Qs_All[[#This Row],[Section]]="IntSV", TBL_ADD_04_Qs_All[[#This Row],[Question / Sub-question]]="Not used"), "-", "")</f>
        <v>-</v>
      </c>
      <c r="E6" s="426" t="str">
        <f>IF(OR(TBL_ADD_04_Qs_All[[#This Row],[Type]]="Overview", TBL_ADD_04_Qs_All[[#This Row],[Type]]="Sub-question", TBL_ADD_04_Qs_All[[#This Row],[Required?]]="No", TBL_ADD_04_Qs_All[[#This Row],[Section]]="IntSV", TBL_ADD_04_Qs_All[[#This Row],[Question / Sub-question]]="Not used"), "-", "")</f>
        <v>-</v>
      </c>
      <c r="F6" s="427" t="str">
        <f>IF(OR(TBL_ADD_04_Qs_All[[#This Row],[Required?]]="No", TBL_ADD_04_Qs_All[[#This Row],[Section]]="IntSV", TBL_ADD_04_Qs_All[[#This Row],[Question / Sub-question]]="Not used"), "-", IF(TBL_ADD_04_Qs_All[[#This Row],[Type]]="Question", TBL_ADD_04_Qs_All[[#This Row],[No.subs]]*500, "-"))</f>
        <v>-</v>
      </c>
      <c r="G6"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 s="426" t="str">
        <f t="array" ref="I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 s="424" t="s">
        <v>332</v>
      </c>
      <c r="K6" s="426" t="s">
        <v>220</v>
      </c>
      <c r="L6" s="428" t="s">
        <v>568</v>
      </c>
      <c r="M6" s="426" t="s">
        <v>2159</v>
      </c>
      <c r="N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 spans="1:25" s="14" customFormat="1" ht="25">
      <c r="A7" s="424" t="str">
        <f>IF(TBL_ADD_04_Qs_All[[#This Row],[Type]]="Question", K8, IF(TBL_ADD_04_Qs_All[[#This Row],[Sub_No]]="N/A", "-", CONCATENATE(TBL_ADD_04_Qs_All[[#This Row],[Q_No]], TBL_ADD_04_Qs_All[[#This Row],[Sub_No]])))</f>
        <v>Q6.1.2</v>
      </c>
      <c r="B7" s="429" t="str">
        <f>IF(TBL_ADD_04_Qs_All[[#This Row],[Required?]]="No", "Not used", "Contract 2:  "&amp;$Q$2)</f>
        <v>Contract 2:  Contract details and brief description of the contract delivered including evidence as to your technical capability in this market</v>
      </c>
      <c r="C7" s="426">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5</v>
      </c>
      <c r="D7" s="426" t="str">
        <f>IF(OR(TBL_ADD_04_Qs_All[[#This Row],[Type]]="Overview", TBL_ADD_04_Qs_All[[#This Row],[Type]]="Sub-question", TBL_ADD_04_Qs_All[[#This Row],[Required?]]="No", TBL_ADD_04_Qs_All[[#This Row],[Section]]="IntSV", TBL_ADD_04_Qs_All[[#This Row],[Question / Sub-question]]="Not used"), "-", "")</f>
        <v>-</v>
      </c>
      <c r="E7" s="426" t="str">
        <f>IF(OR(TBL_ADD_04_Qs_All[[#This Row],[Type]]="Overview", TBL_ADD_04_Qs_All[[#This Row],[Type]]="Sub-question", TBL_ADD_04_Qs_All[[#This Row],[Required?]]="No", TBL_ADD_04_Qs_All[[#This Row],[Section]]="IntSV", TBL_ADD_04_Qs_All[[#This Row],[Question / Sub-question]]="Not used"), "-", "")</f>
        <v>-</v>
      </c>
      <c r="F7" s="427" t="str">
        <f>IF(OR(TBL_ADD_04_Qs_All[[#This Row],[Required?]]="No", TBL_ADD_04_Qs_All[[#This Row],[Section]]="IntSV", TBL_ADD_04_Qs_All[[#This Row],[Question / Sub-question]]="Not used"), "-", IF(TBL_ADD_04_Qs_All[[#This Row],[Type]]="Question", TBL_ADD_04_Qs_All[[#This Row],[No.subs]]*500, "-"))</f>
        <v>-</v>
      </c>
      <c r="G7"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 s="426" t="str">
        <f t="array" ref="I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 s="424" t="s">
        <v>332</v>
      </c>
      <c r="K7" s="426" t="s">
        <v>220</v>
      </c>
      <c r="L7" s="428" t="s">
        <v>572</v>
      </c>
      <c r="M7" s="426" t="s">
        <v>2159</v>
      </c>
      <c r="N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7" s="22"/>
      <c r="S7" s="22"/>
    </row>
    <row r="8" spans="1:25" s="14" customFormat="1" ht="25">
      <c r="A8" s="424" t="str">
        <f>IF(TBL_ADD_04_Qs_All[[#This Row],[Type]]="Question", K9, IF(TBL_ADD_04_Qs_All[[#This Row],[Sub_No]]="N/A", "-", CONCATENATE(TBL_ADD_04_Qs_All[[#This Row],[Q_No]], TBL_ADD_04_Qs_All[[#This Row],[Sub_No]])))</f>
        <v>Q6.1.3</v>
      </c>
      <c r="B8" s="429" t="str">
        <f>IF(TBL_ADD_04_Qs_All[[#This Row],[Required?]]="No", "Not used", "Contract 3:  "&amp;$Q$2)</f>
        <v>Contract 3:  Contract details and brief description of the contract delivered including evidence as to your technical capability in this market</v>
      </c>
      <c r="C8" s="426">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5</v>
      </c>
      <c r="D8" s="426" t="str">
        <f>IF(OR(TBL_ADD_04_Qs_All[[#This Row],[Type]]="Overview", TBL_ADD_04_Qs_All[[#This Row],[Type]]="Sub-question", TBL_ADD_04_Qs_All[[#This Row],[Required?]]="No", TBL_ADD_04_Qs_All[[#This Row],[Section]]="IntSV", TBL_ADD_04_Qs_All[[#This Row],[Question / Sub-question]]="Not used"), "-", "")</f>
        <v>-</v>
      </c>
      <c r="E8" s="426" t="str">
        <f>IF(OR(TBL_ADD_04_Qs_All[[#This Row],[Type]]="Overview", TBL_ADD_04_Qs_All[[#This Row],[Type]]="Sub-question", TBL_ADD_04_Qs_All[[#This Row],[Required?]]="No", TBL_ADD_04_Qs_All[[#This Row],[Section]]="IntSV", TBL_ADD_04_Qs_All[[#This Row],[Question / Sub-question]]="Not used"), "-", "")</f>
        <v>-</v>
      </c>
      <c r="F8" s="427" t="str">
        <f>IF(OR(TBL_ADD_04_Qs_All[[#This Row],[Required?]]="No", TBL_ADD_04_Qs_All[[#This Row],[Section]]="IntSV", TBL_ADD_04_Qs_All[[#This Row],[Question / Sub-question]]="Not used"), "-", IF(TBL_ADD_04_Qs_All[[#This Row],[Type]]="Question", TBL_ADD_04_Qs_All[[#This Row],[No.subs]]*500, "-"))</f>
        <v>-</v>
      </c>
      <c r="G8"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 s="426" t="str">
        <f t="array" ref="I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 s="424" t="s">
        <v>332</v>
      </c>
      <c r="K8" s="426" t="s">
        <v>220</v>
      </c>
      <c r="L8" s="428" t="s">
        <v>569</v>
      </c>
      <c r="M8" s="426" t="s">
        <v>2159</v>
      </c>
      <c r="N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8" s="22"/>
      <c r="S8" s="22"/>
    </row>
    <row r="9" spans="1:25" s="14" customFormat="1">
      <c r="A9" s="424" t="str">
        <f>IF(TBL_ADD_04_Qs_All[[#This Row],[Type]]="Question", K10, IF(TBL_ADD_04_Qs_All[[#This Row],[Sub_No]]="N/A", "-", CONCATENATE(TBL_ADD_04_Qs_All[[#This Row],[Q_No]], TBL_ADD_04_Qs_All[[#This Row],[Sub_No]])))</f>
        <v>Q6.1.4</v>
      </c>
      <c r="B9" s="424" t="s">
        <v>152</v>
      </c>
      <c r="C9"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 s="426" t="str">
        <f>IF(OR(TBL_ADD_04_Qs_All[[#This Row],[Type]]="Overview", TBL_ADD_04_Qs_All[[#This Row],[Type]]="Sub-question", TBL_ADD_04_Qs_All[[#This Row],[Required?]]="No", TBL_ADD_04_Qs_All[[#This Row],[Section]]="IntSV", TBL_ADD_04_Qs_All[[#This Row],[Question / Sub-question]]="Not used"), "-", "")</f>
        <v>-</v>
      </c>
      <c r="E9" s="426" t="str">
        <f>IF(OR(TBL_ADD_04_Qs_All[[#This Row],[Type]]="Overview", TBL_ADD_04_Qs_All[[#This Row],[Type]]="Sub-question", TBL_ADD_04_Qs_All[[#This Row],[Required?]]="No", TBL_ADD_04_Qs_All[[#This Row],[Section]]="IntSV", TBL_ADD_04_Qs_All[[#This Row],[Question / Sub-question]]="Not used"), "-", "")</f>
        <v>-</v>
      </c>
      <c r="F9" s="427" t="str">
        <f>IF(OR(TBL_ADD_04_Qs_All[[#This Row],[Required?]]="No", TBL_ADD_04_Qs_All[[#This Row],[Section]]="IntSV", TBL_ADD_04_Qs_All[[#This Row],[Question / Sub-question]]="Not used"), "-", IF(TBL_ADD_04_Qs_All[[#This Row],[Type]]="Question", TBL_ADD_04_Qs_All[[#This Row],[No.subs]]*500, "-"))</f>
        <v>-</v>
      </c>
      <c r="G9"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 s="426" t="str">
        <f t="array" ref="I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 s="424" t="s">
        <v>332</v>
      </c>
      <c r="K9" s="426" t="s">
        <v>220</v>
      </c>
      <c r="L9" s="428" t="s">
        <v>570</v>
      </c>
      <c r="M9" s="426" t="s">
        <v>2159</v>
      </c>
      <c r="N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9" s="22"/>
      <c r="S9" s="22"/>
    </row>
    <row r="10" spans="1:25" s="14" customFormat="1">
      <c r="A10" s="424" t="str">
        <f>IF(TBL_ADD_04_Qs_All[[#This Row],[Type]]="Question", K11, IF(TBL_ADD_04_Qs_All[[#This Row],[Sub_No]]="N/A", "-", CONCATENATE(TBL_ADD_04_Qs_All[[#This Row],[Q_No]], TBL_ADD_04_Qs_All[[#This Row],[Sub_No]])))</f>
        <v>Q6.1.5</v>
      </c>
      <c r="B10" s="424" t="s">
        <v>152</v>
      </c>
      <c r="C10"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 s="426" t="str">
        <f>IF(OR(TBL_ADD_04_Qs_All[[#This Row],[Type]]="Overview", TBL_ADD_04_Qs_All[[#This Row],[Type]]="Sub-question", TBL_ADD_04_Qs_All[[#This Row],[Required?]]="No", TBL_ADD_04_Qs_All[[#This Row],[Section]]="IntSV", TBL_ADD_04_Qs_All[[#This Row],[Question / Sub-question]]="Not used"), "-", "")</f>
        <v>-</v>
      </c>
      <c r="E10" s="426" t="str">
        <f>IF(OR(TBL_ADD_04_Qs_All[[#This Row],[Type]]="Overview", TBL_ADD_04_Qs_All[[#This Row],[Type]]="Sub-question", TBL_ADD_04_Qs_All[[#This Row],[Required?]]="No", TBL_ADD_04_Qs_All[[#This Row],[Section]]="IntSV", TBL_ADD_04_Qs_All[[#This Row],[Question / Sub-question]]="Not used"), "-", "")</f>
        <v>-</v>
      </c>
      <c r="F10" s="427" t="str">
        <f>IF(OR(TBL_ADD_04_Qs_All[[#This Row],[Required?]]="No", TBL_ADD_04_Qs_All[[#This Row],[Section]]="IntSV", TBL_ADD_04_Qs_All[[#This Row],[Question / Sub-question]]="Not used"), "-", IF(TBL_ADD_04_Qs_All[[#This Row],[Type]]="Question", TBL_ADD_04_Qs_All[[#This Row],[No.subs]]*500, "-"))</f>
        <v>-</v>
      </c>
      <c r="G10"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 s="426" t="str">
        <f t="array" ref="I1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 s="424" t="s">
        <v>332</v>
      </c>
      <c r="K10" s="426" t="s">
        <v>220</v>
      </c>
      <c r="L10" s="428" t="s">
        <v>571</v>
      </c>
      <c r="M10" s="426" t="s">
        <v>2159</v>
      </c>
      <c r="N1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0" s="22"/>
      <c r="S10" s="22"/>
    </row>
    <row r="11" spans="1:25" s="14" customFormat="1">
      <c r="A11" s="424" t="str">
        <f>IF(TBL_ADD_04_Qs_All[[#This Row],[Type]]="Question", K12, IF(TBL_ADD_04_Qs_All[[#This Row],[Sub_No]]="N/A", "-", CONCATENATE(TBL_ADD_04_Qs_All[[#This Row],[Q_No]], TBL_ADD_04_Qs_All[[#This Row],[Sub_No]])))</f>
        <v>Q6.1.6</v>
      </c>
      <c r="B11" s="424" t="s">
        <v>152</v>
      </c>
      <c r="C11"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 s="426" t="str">
        <f>IF(OR(TBL_ADD_04_Qs_All[[#This Row],[Type]]="Overview", TBL_ADD_04_Qs_All[[#This Row],[Type]]="Sub-question", TBL_ADD_04_Qs_All[[#This Row],[Required?]]="No", TBL_ADD_04_Qs_All[[#This Row],[Section]]="IntSV", TBL_ADD_04_Qs_All[[#This Row],[Question / Sub-question]]="Not used"), "-", "")</f>
        <v>-</v>
      </c>
      <c r="E11" s="426" t="str">
        <f>IF(OR(TBL_ADD_04_Qs_All[[#This Row],[Type]]="Overview", TBL_ADD_04_Qs_All[[#This Row],[Type]]="Sub-question", TBL_ADD_04_Qs_All[[#This Row],[Required?]]="No", TBL_ADD_04_Qs_All[[#This Row],[Section]]="IntSV", TBL_ADD_04_Qs_All[[#This Row],[Question / Sub-question]]="Not used"), "-", "")</f>
        <v>-</v>
      </c>
      <c r="F11" s="427" t="str">
        <f>IF(OR(TBL_ADD_04_Qs_All[[#This Row],[Required?]]="No", TBL_ADD_04_Qs_All[[#This Row],[Section]]="IntSV", TBL_ADD_04_Qs_All[[#This Row],[Question / Sub-question]]="Not used"), "-", IF(TBL_ADD_04_Qs_All[[#This Row],[Type]]="Question", TBL_ADD_04_Qs_All[[#This Row],[No.subs]]*500, "-"))</f>
        <v>-</v>
      </c>
      <c r="G11"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 s="426" t="str">
        <f t="array" ref="I1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 s="424" t="s">
        <v>332</v>
      </c>
      <c r="K11" s="426" t="s">
        <v>220</v>
      </c>
      <c r="L11" s="428" t="s">
        <v>573</v>
      </c>
      <c r="M11" s="426" t="s">
        <v>2159</v>
      </c>
      <c r="N1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1" s="22"/>
      <c r="S11" s="22"/>
    </row>
    <row r="12" spans="1:25" s="14" customFormat="1">
      <c r="A12" s="424" t="str">
        <f>IF(TBL_ADD_04_Qs_All[[#This Row],[Type]]="Question", K13, IF(TBL_ADD_04_Qs_All[[#This Row],[Sub_No]]="N/A", "-", CONCATENATE(TBL_ADD_04_Qs_All[[#This Row],[Q_No]], TBL_ADD_04_Qs_All[[#This Row],[Sub_No]])))</f>
        <v>Q6.1.7</v>
      </c>
      <c r="B12" s="424" t="s">
        <v>152</v>
      </c>
      <c r="C12"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 s="426" t="str">
        <f>IF(OR(TBL_ADD_04_Qs_All[[#This Row],[Type]]="Overview", TBL_ADD_04_Qs_All[[#This Row],[Type]]="Sub-question", TBL_ADD_04_Qs_All[[#This Row],[Required?]]="No", TBL_ADD_04_Qs_All[[#This Row],[Section]]="IntSV", TBL_ADD_04_Qs_All[[#This Row],[Question / Sub-question]]="Not used"), "-", "")</f>
        <v>-</v>
      </c>
      <c r="E12" s="426" t="str">
        <f>IF(OR(TBL_ADD_04_Qs_All[[#This Row],[Type]]="Overview", TBL_ADD_04_Qs_All[[#This Row],[Type]]="Sub-question", TBL_ADD_04_Qs_All[[#This Row],[Required?]]="No", TBL_ADD_04_Qs_All[[#This Row],[Section]]="IntSV", TBL_ADD_04_Qs_All[[#This Row],[Question / Sub-question]]="Not used"), "-", "")</f>
        <v>-</v>
      </c>
      <c r="F12" s="427" t="str">
        <f>IF(OR(TBL_ADD_04_Qs_All[[#This Row],[Required?]]="No", TBL_ADD_04_Qs_All[[#This Row],[Section]]="IntSV", TBL_ADD_04_Qs_All[[#This Row],[Question / Sub-question]]="Not used"), "-", IF(TBL_ADD_04_Qs_All[[#This Row],[Type]]="Question", TBL_ADD_04_Qs_All[[#This Row],[No.subs]]*500, "-"))</f>
        <v>-</v>
      </c>
      <c r="G12"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 s="426" t="str">
        <f t="array" ref="I1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 s="424" t="s">
        <v>332</v>
      </c>
      <c r="K12" s="426" t="s">
        <v>220</v>
      </c>
      <c r="L12" s="428" t="s">
        <v>574</v>
      </c>
      <c r="M12" s="426" t="s">
        <v>2159</v>
      </c>
      <c r="N1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2" s="22"/>
      <c r="S12" s="22"/>
    </row>
    <row r="13" spans="1:25" s="14" customFormat="1">
      <c r="A13" s="424" t="str">
        <f>IF(TBL_ADD_04_Qs_All[[#This Row],[Type]]="Question", K14, IF(TBL_ADD_04_Qs_All[[#This Row],[Sub_No]]="N/A", "-", CONCATENATE(TBL_ADD_04_Qs_All[[#This Row],[Q_No]], TBL_ADD_04_Qs_All[[#This Row],[Sub_No]])))</f>
        <v>Q6.1.8</v>
      </c>
      <c r="B13" s="424" t="s">
        <v>152</v>
      </c>
      <c r="C13"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 s="426" t="str">
        <f>IF(OR(TBL_ADD_04_Qs_All[[#This Row],[Type]]="Overview", TBL_ADD_04_Qs_All[[#This Row],[Type]]="Sub-question", TBL_ADD_04_Qs_All[[#This Row],[Required?]]="No", TBL_ADD_04_Qs_All[[#This Row],[Section]]="IntSV", TBL_ADD_04_Qs_All[[#This Row],[Question / Sub-question]]="Not used"), "-", "")</f>
        <v>-</v>
      </c>
      <c r="E13" s="426" t="str">
        <f>IF(OR(TBL_ADD_04_Qs_All[[#This Row],[Type]]="Overview", TBL_ADD_04_Qs_All[[#This Row],[Type]]="Sub-question", TBL_ADD_04_Qs_All[[#This Row],[Required?]]="No", TBL_ADD_04_Qs_All[[#This Row],[Section]]="IntSV", TBL_ADD_04_Qs_All[[#This Row],[Question / Sub-question]]="Not used"), "-", "")</f>
        <v>-</v>
      </c>
      <c r="F13" s="427" t="str">
        <f>IF(OR(TBL_ADD_04_Qs_All[[#This Row],[Required?]]="No", TBL_ADD_04_Qs_All[[#This Row],[Section]]="IntSV", TBL_ADD_04_Qs_All[[#This Row],[Question / Sub-question]]="Not used"), "-", IF(TBL_ADD_04_Qs_All[[#This Row],[Type]]="Question", TBL_ADD_04_Qs_All[[#This Row],[No.subs]]*500, "-"))</f>
        <v>-</v>
      </c>
      <c r="G13"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 s="426" t="str">
        <f t="array" ref="I1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 s="424" t="s">
        <v>332</v>
      </c>
      <c r="K13" s="426" t="s">
        <v>220</v>
      </c>
      <c r="L13" s="428" t="s">
        <v>575</v>
      </c>
      <c r="M13" s="426" t="s">
        <v>2159</v>
      </c>
      <c r="N1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3" s="22"/>
      <c r="S13" s="22"/>
    </row>
    <row r="14" spans="1:25" s="14" customFormat="1">
      <c r="A14" s="424" t="str">
        <f>IF(TBL_ADD_04_Qs_All[[#This Row],[Type]]="Question", K15, IF(TBL_ADD_04_Qs_All[[#This Row],[Sub_No]]="N/A", "-", CONCATENATE(TBL_ADD_04_Qs_All[[#This Row],[Q_No]], TBL_ADD_04_Qs_All[[#This Row],[Sub_No]])))</f>
        <v>Q6.1.9</v>
      </c>
      <c r="B14" s="424" t="s">
        <v>152</v>
      </c>
      <c r="C14"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 s="426" t="str">
        <f>IF(OR(TBL_ADD_04_Qs_All[[#This Row],[Type]]="Overview", TBL_ADD_04_Qs_All[[#This Row],[Type]]="Sub-question", TBL_ADD_04_Qs_All[[#This Row],[Required?]]="No", TBL_ADD_04_Qs_All[[#This Row],[Section]]="IntSV", TBL_ADD_04_Qs_All[[#This Row],[Question / Sub-question]]="Not used"), "-", "")</f>
        <v>-</v>
      </c>
      <c r="E14" s="426" t="str">
        <f>IF(OR(TBL_ADD_04_Qs_All[[#This Row],[Type]]="Overview", TBL_ADD_04_Qs_All[[#This Row],[Type]]="Sub-question", TBL_ADD_04_Qs_All[[#This Row],[Required?]]="No", TBL_ADD_04_Qs_All[[#This Row],[Section]]="IntSV", TBL_ADD_04_Qs_All[[#This Row],[Question / Sub-question]]="Not used"), "-", "")</f>
        <v>-</v>
      </c>
      <c r="F14" s="427" t="str">
        <f>IF(OR(TBL_ADD_04_Qs_All[[#This Row],[Required?]]="No", TBL_ADD_04_Qs_All[[#This Row],[Section]]="IntSV", TBL_ADD_04_Qs_All[[#This Row],[Question / Sub-question]]="Not used"), "-", IF(TBL_ADD_04_Qs_All[[#This Row],[Type]]="Question", TBL_ADD_04_Qs_All[[#This Row],[No.subs]]*500, "-"))</f>
        <v>-</v>
      </c>
      <c r="G14"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 s="426" t="str">
        <f t="array" ref="I1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 s="424" t="s">
        <v>332</v>
      </c>
      <c r="K14" s="426" t="s">
        <v>220</v>
      </c>
      <c r="L14" s="428" t="s">
        <v>576</v>
      </c>
      <c r="M14" s="426" t="s">
        <v>2159</v>
      </c>
      <c r="N1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4" s="22"/>
      <c r="S14" s="22"/>
    </row>
    <row r="15" spans="1:25" s="14" customFormat="1">
      <c r="A15" s="424" t="str">
        <f>IF(TBL_ADD_04_Qs_All[[#This Row],[Type]]="Question", K16, IF(TBL_ADD_04_Qs_All[[#This Row],[Sub_No]]="N/A", "-", CONCATENATE(TBL_ADD_04_Qs_All[[#This Row],[Q_No]], TBL_ADD_04_Qs_All[[#This Row],[Sub_No]])))</f>
        <v>Q6.1.10</v>
      </c>
      <c r="B15" s="424" t="s">
        <v>152</v>
      </c>
      <c r="C15"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 s="426" t="str">
        <f>IF(OR(TBL_ADD_04_Qs_All[[#This Row],[Type]]="Overview", TBL_ADD_04_Qs_All[[#This Row],[Type]]="Sub-question", TBL_ADD_04_Qs_All[[#This Row],[Required?]]="No", TBL_ADD_04_Qs_All[[#This Row],[Section]]="IntSV", TBL_ADD_04_Qs_All[[#This Row],[Question / Sub-question]]="Not used"), "-", "")</f>
        <v>-</v>
      </c>
      <c r="E15" s="426" t="str">
        <f>IF(OR(TBL_ADD_04_Qs_All[[#This Row],[Type]]="Overview", TBL_ADD_04_Qs_All[[#This Row],[Type]]="Sub-question", TBL_ADD_04_Qs_All[[#This Row],[Required?]]="No", TBL_ADD_04_Qs_All[[#This Row],[Section]]="IntSV", TBL_ADD_04_Qs_All[[#This Row],[Question / Sub-question]]="Not used"), "-", "")</f>
        <v>-</v>
      </c>
      <c r="F15" s="427" t="str">
        <f>IF(OR(TBL_ADD_04_Qs_All[[#This Row],[Required?]]="No", TBL_ADD_04_Qs_All[[#This Row],[Section]]="IntSV", TBL_ADD_04_Qs_All[[#This Row],[Question / Sub-question]]="Not used"), "-", IF(TBL_ADD_04_Qs_All[[#This Row],[Type]]="Question", TBL_ADD_04_Qs_All[[#This Row],[No.subs]]*500, "-"))</f>
        <v>-</v>
      </c>
      <c r="G15"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 s="426" t="str">
        <f t="array" ref="I1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 s="424" t="s">
        <v>332</v>
      </c>
      <c r="K15" s="426" t="s">
        <v>220</v>
      </c>
      <c r="L15" s="428" t="s">
        <v>577</v>
      </c>
      <c r="M15" s="426" t="s">
        <v>2159</v>
      </c>
      <c r="N1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5" s="22"/>
      <c r="S15" s="22"/>
    </row>
    <row r="16" spans="1:25" s="14" customFormat="1" ht="13">
      <c r="A16" s="424" t="str">
        <f>IF(TBL_ADD_04_Qs_All[[#This Row],[Type]]="Question", K17, IF(TBL_ADD_04_Qs_All[[#This Row],[Sub_No]]="N/A", "-", CONCATENATE(TBL_ADD_04_Qs_All[[#This Row],[Q_No]], TBL_ADD_04_Qs_All[[#This Row],[Sub_No]])))</f>
        <v>Q6.2</v>
      </c>
      <c r="B16" s="429" t="str">
        <f>IF(TBL_ADD_04_Qs_All[[#This Row],[Required?]]="No", "Not used", IF(REF_CCS_Q="Yes", "Question not used", ""))</f>
        <v/>
      </c>
      <c r="C16"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6" s="426" t="str">
        <f>IF(OR(TBL_ADD_04_Qs_All[[#This Row],[Type]]="Overview", TBL_ADD_04_Qs_All[[#This Row],[Type]]="Sub-question", TBL_ADD_04_Qs_All[[#This Row],[Required?]]="No", TBL_ADD_04_Qs_All[[#This Row],[Section]]="IntSV", TBL_ADD_04_Qs_All[[#This Row],[Question / Sub-question]]="Not used"), "-", "")</f>
        <v/>
      </c>
      <c r="E16" s="426" t="str">
        <f>IF(OR(TBL_ADD_04_Qs_All[[#This Row],[Type]]="Overview", TBL_ADD_04_Qs_All[[#This Row],[Type]]="Sub-question", TBL_ADD_04_Qs_All[[#This Row],[Required?]]="No", TBL_ADD_04_Qs_All[[#This Row],[Section]]="IntSV", TBL_ADD_04_Qs_All[[#This Row],[Question / Sub-question]]="Not used"), "-", "")</f>
        <v/>
      </c>
      <c r="F16" s="427">
        <f>IF(OR(TBL_ADD_04_Qs_All[[#This Row],[Required?]]="No", TBL_ADD_04_Qs_All[[#This Row],[Section]]="IntSV", TBL_ADD_04_Qs_All[[#This Row],[Question / Sub-question]]="Not used"), "-", IF(TBL_ADD_04_Qs_All[[#This Row],[Type]]="Question", TBL_ADD_04_Qs_All[[#This Row],[No.subs]]*500, "-"))</f>
        <v>0</v>
      </c>
      <c r="G16"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16"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6" s="426">
        <f t="array" ref="I1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6" s="424" t="s">
        <v>146</v>
      </c>
      <c r="K16" s="426" t="s">
        <v>24</v>
      </c>
      <c r="L16" s="426" t="s">
        <v>24</v>
      </c>
      <c r="M16" s="426" t="s">
        <v>2159</v>
      </c>
      <c r="N1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6" s="22"/>
      <c r="S16" s="22"/>
    </row>
    <row r="17" spans="1:19" s="14" customFormat="1">
      <c r="A17" s="424" t="str">
        <f>IF(TBL_ADD_04_Qs_All[[#This Row],[Type]]="Question", K18, IF(TBL_ADD_04_Qs_All[[#This Row],[Sub_No]]="N/A", "-", CONCATENATE(TBL_ADD_04_Qs_All[[#This Row],[Q_No]], TBL_ADD_04_Qs_All[[#This Row],[Sub_No]])))</f>
        <v>Q6.2.1</v>
      </c>
      <c r="B17" s="424" t="s">
        <v>152</v>
      </c>
      <c r="C17"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 s="426" t="str">
        <f>IF(OR(TBL_ADD_04_Qs_All[[#This Row],[Type]]="Overview", TBL_ADD_04_Qs_All[[#This Row],[Type]]="Sub-question", TBL_ADD_04_Qs_All[[#This Row],[Required?]]="No", TBL_ADD_04_Qs_All[[#This Row],[Section]]="IntSV", TBL_ADD_04_Qs_All[[#This Row],[Question / Sub-question]]="Not used"), "-", "")</f>
        <v>-</v>
      </c>
      <c r="E17" s="426" t="str">
        <f>IF(OR(TBL_ADD_04_Qs_All[[#This Row],[Type]]="Overview", TBL_ADD_04_Qs_All[[#This Row],[Type]]="Sub-question", TBL_ADD_04_Qs_All[[#This Row],[Required?]]="No", TBL_ADD_04_Qs_All[[#This Row],[Section]]="IntSV", TBL_ADD_04_Qs_All[[#This Row],[Question / Sub-question]]="Not used"), "-", "")</f>
        <v>-</v>
      </c>
      <c r="F17" s="427" t="str">
        <f>IF(OR(TBL_ADD_04_Qs_All[[#This Row],[Required?]]="No", TBL_ADD_04_Qs_All[[#This Row],[Section]]="IntSV", TBL_ADD_04_Qs_All[[#This Row],[Question / Sub-question]]="Not used"), "-", IF(TBL_ADD_04_Qs_All[[#This Row],[Type]]="Question", TBL_ADD_04_Qs_All[[#This Row],[No.subs]]*500, "-"))</f>
        <v>-</v>
      </c>
      <c r="G17"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 s="426" t="str">
        <f t="array" ref="I1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 s="424" t="s">
        <v>332</v>
      </c>
      <c r="K17" s="426" t="s">
        <v>224</v>
      </c>
      <c r="L17" s="428" t="s">
        <v>568</v>
      </c>
      <c r="M17" s="426" t="s">
        <v>2159</v>
      </c>
      <c r="N1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7" s="22"/>
      <c r="S17" s="22"/>
    </row>
    <row r="18" spans="1:19" s="14" customFormat="1">
      <c r="A18" s="424" t="str">
        <f>IF(TBL_ADD_04_Qs_All[[#This Row],[Type]]="Question", K19, IF(TBL_ADD_04_Qs_All[[#This Row],[Sub_No]]="N/A", "-", CONCATENATE(TBL_ADD_04_Qs_All[[#This Row],[Q_No]], TBL_ADD_04_Qs_All[[#This Row],[Sub_No]])))</f>
        <v>Q6.2.2</v>
      </c>
      <c r="B18" s="424" t="s">
        <v>152</v>
      </c>
      <c r="C18"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 s="426" t="str">
        <f>IF(OR(TBL_ADD_04_Qs_All[[#This Row],[Type]]="Overview", TBL_ADD_04_Qs_All[[#This Row],[Type]]="Sub-question", TBL_ADD_04_Qs_All[[#This Row],[Required?]]="No", TBL_ADD_04_Qs_All[[#This Row],[Section]]="IntSV", TBL_ADD_04_Qs_All[[#This Row],[Question / Sub-question]]="Not used"), "-", "")</f>
        <v>-</v>
      </c>
      <c r="E18" s="426" t="str">
        <f>IF(OR(TBL_ADD_04_Qs_All[[#This Row],[Type]]="Overview", TBL_ADD_04_Qs_All[[#This Row],[Type]]="Sub-question", TBL_ADD_04_Qs_All[[#This Row],[Required?]]="No", TBL_ADD_04_Qs_All[[#This Row],[Section]]="IntSV", TBL_ADD_04_Qs_All[[#This Row],[Question / Sub-question]]="Not used"), "-", "")</f>
        <v>-</v>
      </c>
      <c r="F18" s="427" t="str">
        <f>IF(OR(TBL_ADD_04_Qs_All[[#This Row],[Required?]]="No", TBL_ADD_04_Qs_All[[#This Row],[Section]]="IntSV", TBL_ADD_04_Qs_All[[#This Row],[Question / Sub-question]]="Not used"), "-", IF(TBL_ADD_04_Qs_All[[#This Row],[Type]]="Question", TBL_ADD_04_Qs_All[[#This Row],[No.subs]]*500, "-"))</f>
        <v>-</v>
      </c>
      <c r="G18"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 s="426" t="str">
        <f t="array" ref="I1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 s="424" t="s">
        <v>332</v>
      </c>
      <c r="K18" s="426" t="s">
        <v>224</v>
      </c>
      <c r="L18" s="428" t="s">
        <v>572</v>
      </c>
      <c r="M18" s="426" t="s">
        <v>2159</v>
      </c>
      <c r="N1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8" s="22"/>
      <c r="S18" s="22"/>
    </row>
    <row r="19" spans="1:19" s="14" customFormat="1">
      <c r="A19" s="424" t="str">
        <f>IF(TBL_ADD_04_Qs_All[[#This Row],[Type]]="Question", K20, IF(TBL_ADD_04_Qs_All[[#This Row],[Sub_No]]="N/A", "-", CONCATENATE(TBL_ADD_04_Qs_All[[#This Row],[Q_No]], TBL_ADD_04_Qs_All[[#This Row],[Sub_No]])))</f>
        <v>Q6.2.3</v>
      </c>
      <c r="B19" s="424" t="s">
        <v>152</v>
      </c>
      <c r="C19"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 s="426" t="str">
        <f>IF(OR(TBL_ADD_04_Qs_All[[#This Row],[Type]]="Overview", TBL_ADD_04_Qs_All[[#This Row],[Type]]="Sub-question", TBL_ADD_04_Qs_All[[#This Row],[Required?]]="No", TBL_ADD_04_Qs_All[[#This Row],[Section]]="IntSV", TBL_ADD_04_Qs_All[[#This Row],[Question / Sub-question]]="Not used"), "-", "")</f>
        <v>-</v>
      </c>
      <c r="E19" s="426" t="str">
        <f>IF(OR(TBL_ADD_04_Qs_All[[#This Row],[Type]]="Overview", TBL_ADD_04_Qs_All[[#This Row],[Type]]="Sub-question", TBL_ADD_04_Qs_All[[#This Row],[Required?]]="No", TBL_ADD_04_Qs_All[[#This Row],[Section]]="IntSV", TBL_ADD_04_Qs_All[[#This Row],[Question / Sub-question]]="Not used"), "-", "")</f>
        <v>-</v>
      </c>
      <c r="F19" s="427" t="str">
        <f>IF(OR(TBL_ADD_04_Qs_All[[#This Row],[Required?]]="No", TBL_ADD_04_Qs_All[[#This Row],[Section]]="IntSV", TBL_ADD_04_Qs_All[[#This Row],[Question / Sub-question]]="Not used"), "-", IF(TBL_ADD_04_Qs_All[[#This Row],[Type]]="Question", TBL_ADD_04_Qs_All[[#This Row],[No.subs]]*500, "-"))</f>
        <v>-</v>
      </c>
      <c r="G19"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 s="426" t="str">
        <f t="array" ref="I1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 s="424" t="s">
        <v>332</v>
      </c>
      <c r="K19" s="426" t="s">
        <v>224</v>
      </c>
      <c r="L19" s="428" t="s">
        <v>569</v>
      </c>
      <c r="M19" s="426" t="s">
        <v>2159</v>
      </c>
      <c r="N1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19" s="22"/>
      <c r="S19" s="22"/>
    </row>
    <row r="20" spans="1:19" s="14" customFormat="1">
      <c r="A20" s="424" t="str">
        <f>IF(TBL_ADD_04_Qs_All[[#This Row],[Type]]="Question", K21, IF(TBL_ADD_04_Qs_All[[#This Row],[Sub_No]]="N/A", "-", CONCATENATE(TBL_ADD_04_Qs_All[[#This Row],[Q_No]], TBL_ADD_04_Qs_All[[#This Row],[Sub_No]])))</f>
        <v>Q6.2.4</v>
      </c>
      <c r="B20" s="424" t="s">
        <v>152</v>
      </c>
      <c r="C20"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 s="426" t="str">
        <f>IF(OR(TBL_ADD_04_Qs_All[[#This Row],[Type]]="Overview", TBL_ADD_04_Qs_All[[#This Row],[Type]]="Sub-question", TBL_ADD_04_Qs_All[[#This Row],[Required?]]="No", TBL_ADD_04_Qs_All[[#This Row],[Section]]="IntSV", TBL_ADD_04_Qs_All[[#This Row],[Question / Sub-question]]="Not used"), "-", "")</f>
        <v>-</v>
      </c>
      <c r="E20" s="426" t="str">
        <f>IF(OR(TBL_ADD_04_Qs_All[[#This Row],[Type]]="Overview", TBL_ADD_04_Qs_All[[#This Row],[Type]]="Sub-question", TBL_ADD_04_Qs_All[[#This Row],[Required?]]="No", TBL_ADD_04_Qs_All[[#This Row],[Section]]="IntSV", TBL_ADD_04_Qs_All[[#This Row],[Question / Sub-question]]="Not used"), "-", "")</f>
        <v>-</v>
      </c>
      <c r="F20" s="427" t="str">
        <f>IF(OR(TBL_ADD_04_Qs_All[[#This Row],[Required?]]="No", TBL_ADD_04_Qs_All[[#This Row],[Section]]="IntSV", TBL_ADD_04_Qs_All[[#This Row],[Question / Sub-question]]="Not used"), "-", IF(TBL_ADD_04_Qs_All[[#This Row],[Type]]="Question", TBL_ADD_04_Qs_All[[#This Row],[No.subs]]*500, "-"))</f>
        <v>-</v>
      </c>
      <c r="G20"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 s="426" t="str">
        <f t="array" ref="I2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 s="424" t="s">
        <v>332</v>
      </c>
      <c r="K20" s="426" t="s">
        <v>224</v>
      </c>
      <c r="L20" s="428" t="s">
        <v>570</v>
      </c>
      <c r="M20" s="426" t="s">
        <v>2159</v>
      </c>
      <c r="N2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20" s="22"/>
      <c r="S20" s="22"/>
    </row>
    <row r="21" spans="1:19" s="14" customFormat="1">
      <c r="A21" s="424" t="str">
        <f>IF(TBL_ADD_04_Qs_All[[#This Row],[Type]]="Question", K22, IF(TBL_ADD_04_Qs_All[[#This Row],[Sub_No]]="N/A", "-", CONCATENATE(TBL_ADD_04_Qs_All[[#This Row],[Q_No]], TBL_ADD_04_Qs_All[[#This Row],[Sub_No]])))</f>
        <v>Q6.2.5</v>
      </c>
      <c r="B21" s="424" t="s">
        <v>152</v>
      </c>
      <c r="C21"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 s="426" t="str">
        <f>IF(OR(TBL_ADD_04_Qs_All[[#This Row],[Type]]="Overview", TBL_ADD_04_Qs_All[[#This Row],[Type]]="Sub-question", TBL_ADD_04_Qs_All[[#This Row],[Required?]]="No", TBL_ADD_04_Qs_All[[#This Row],[Section]]="IntSV", TBL_ADD_04_Qs_All[[#This Row],[Question / Sub-question]]="Not used"), "-", "")</f>
        <v>-</v>
      </c>
      <c r="E21" s="426" t="str">
        <f>IF(OR(TBL_ADD_04_Qs_All[[#This Row],[Type]]="Overview", TBL_ADD_04_Qs_All[[#This Row],[Type]]="Sub-question", TBL_ADD_04_Qs_All[[#This Row],[Required?]]="No", TBL_ADD_04_Qs_All[[#This Row],[Section]]="IntSV", TBL_ADD_04_Qs_All[[#This Row],[Question / Sub-question]]="Not used"), "-", "")</f>
        <v>-</v>
      </c>
      <c r="F21" s="427" t="str">
        <f>IF(OR(TBL_ADD_04_Qs_All[[#This Row],[Required?]]="No", TBL_ADD_04_Qs_All[[#This Row],[Section]]="IntSV", TBL_ADD_04_Qs_All[[#This Row],[Question / Sub-question]]="Not used"), "-", IF(TBL_ADD_04_Qs_All[[#This Row],[Type]]="Question", TBL_ADD_04_Qs_All[[#This Row],[No.subs]]*500, "-"))</f>
        <v>-</v>
      </c>
      <c r="G21"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 s="426" t="str">
        <f t="array" ref="I2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 s="424" t="s">
        <v>332</v>
      </c>
      <c r="K21" s="426" t="s">
        <v>224</v>
      </c>
      <c r="L21" s="428" t="s">
        <v>571</v>
      </c>
      <c r="M21" s="426" t="s">
        <v>2159</v>
      </c>
      <c r="N2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21" s="22"/>
      <c r="S21" s="22"/>
    </row>
    <row r="22" spans="1:19" s="14" customFormat="1">
      <c r="A22" s="424" t="str">
        <f>IF(TBL_ADD_04_Qs_All[[#This Row],[Type]]="Question", K23, IF(TBL_ADD_04_Qs_All[[#This Row],[Sub_No]]="N/A", "-", CONCATENATE(TBL_ADD_04_Qs_All[[#This Row],[Q_No]], TBL_ADD_04_Qs_All[[#This Row],[Sub_No]])))</f>
        <v>Q6.2.6</v>
      </c>
      <c r="B22" s="424" t="s">
        <v>152</v>
      </c>
      <c r="C22"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 s="426" t="str">
        <f>IF(OR(TBL_ADD_04_Qs_All[[#This Row],[Type]]="Overview", TBL_ADD_04_Qs_All[[#This Row],[Type]]="Sub-question", TBL_ADD_04_Qs_All[[#This Row],[Required?]]="No", TBL_ADD_04_Qs_All[[#This Row],[Section]]="IntSV", TBL_ADD_04_Qs_All[[#This Row],[Question / Sub-question]]="Not used"), "-", "")</f>
        <v>-</v>
      </c>
      <c r="E22" s="426" t="str">
        <f>IF(OR(TBL_ADD_04_Qs_All[[#This Row],[Type]]="Overview", TBL_ADD_04_Qs_All[[#This Row],[Type]]="Sub-question", TBL_ADD_04_Qs_All[[#This Row],[Required?]]="No", TBL_ADD_04_Qs_All[[#This Row],[Section]]="IntSV", TBL_ADD_04_Qs_All[[#This Row],[Question / Sub-question]]="Not used"), "-", "")</f>
        <v>-</v>
      </c>
      <c r="F22" s="427" t="str">
        <f>IF(OR(TBL_ADD_04_Qs_All[[#This Row],[Required?]]="No", TBL_ADD_04_Qs_All[[#This Row],[Section]]="IntSV", TBL_ADD_04_Qs_All[[#This Row],[Question / Sub-question]]="Not used"), "-", IF(TBL_ADD_04_Qs_All[[#This Row],[Type]]="Question", TBL_ADD_04_Qs_All[[#This Row],[No.subs]]*500, "-"))</f>
        <v>-</v>
      </c>
      <c r="G22"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 s="426" t="str">
        <f t="array" ref="I2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 s="424" t="s">
        <v>332</v>
      </c>
      <c r="K22" s="426" t="s">
        <v>224</v>
      </c>
      <c r="L22" s="428" t="s">
        <v>573</v>
      </c>
      <c r="M22" s="426" t="s">
        <v>2159</v>
      </c>
      <c r="N2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22" s="22"/>
      <c r="S22" s="22"/>
    </row>
    <row r="23" spans="1:19" s="14" customFormat="1">
      <c r="A23" s="424" t="str">
        <f>IF(TBL_ADD_04_Qs_All[[#This Row],[Type]]="Question", K24, IF(TBL_ADD_04_Qs_All[[#This Row],[Sub_No]]="N/A", "-", CONCATENATE(TBL_ADD_04_Qs_All[[#This Row],[Q_No]], TBL_ADD_04_Qs_All[[#This Row],[Sub_No]])))</f>
        <v>Q6.2.7</v>
      </c>
      <c r="B23" s="424" t="s">
        <v>152</v>
      </c>
      <c r="C23"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 s="426" t="str">
        <f>IF(OR(TBL_ADD_04_Qs_All[[#This Row],[Type]]="Overview", TBL_ADD_04_Qs_All[[#This Row],[Type]]="Sub-question", TBL_ADD_04_Qs_All[[#This Row],[Required?]]="No", TBL_ADD_04_Qs_All[[#This Row],[Section]]="IntSV", TBL_ADD_04_Qs_All[[#This Row],[Question / Sub-question]]="Not used"), "-", "")</f>
        <v>-</v>
      </c>
      <c r="E23" s="426" t="str">
        <f>IF(OR(TBL_ADD_04_Qs_All[[#This Row],[Type]]="Overview", TBL_ADD_04_Qs_All[[#This Row],[Type]]="Sub-question", TBL_ADD_04_Qs_All[[#This Row],[Required?]]="No", TBL_ADD_04_Qs_All[[#This Row],[Section]]="IntSV", TBL_ADD_04_Qs_All[[#This Row],[Question / Sub-question]]="Not used"), "-", "")</f>
        <v>-</v>
      </c>
      <c r="F23" s="427" t="str">
        <f>IF(OR(TBL_ADD_04_Qs_All[[#This Row],[Required?]]="No", TBL_ADD_04_Qs_All[[#This Row],[Section]]="IntSV", TBL_ADD_04_Qs_All[[#This Row],[Question / Sub-question]]="Not used"), "-", IF(TBL_ADD_04_Qs_All[[#This Row],[Type]]="Question", TBL_ADD_04_Qs_All[[#This Row],[No.subs]]*500, "-"))</f>
        <v>-</v>
      </c>
      <c r="G23"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 s="426" t="str">
        <f t="array" ref="I2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 s="424" t="s">
        <v>332</v>
      </c>
      <c r="K23" s="426" t="s">
        <v>224</v>
      </c>
      <c r="L23" s="428" t="s">
        <v>574</v>
      </c>
      <c r="M23" s="426" t="s">
        <v>2159</v>
      </c>
      <c r="N2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23" s="22"/>
      <c r="S23" s="22"/>
    </row>
    <row r="24" spans="1:19" s="14" customFormat="1">
      <c r="A24" s="424" t="str">
        <f>IF(TBL_ADD_04_Qs_All[[#This Row],[Type]]="Question", K25, IF(TBL_ADD_04_Qs_All[[#This Row],[Sub_No]]="N/A", "-", CONCATENATE(TBL_ADD_04_Qs_All[[#This Row],[Q_No]], TBL_ADD_04_Qs_All[[#This Row],[Sub_No]])))</f>
        <v>Q6.2.8</v>
      </c>
      <c r="B24" s="424" t="s">
        <v>152</v>
      </c>
      <c r="C24"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 s="426" t="str">
        <f>IF(OR(TBL_ADD_04_Qs_All[[#This Row],[Type]]="Overview", TBL_ADD_04_Qs_All[[#This Row],[Type]]="Sub-question", TBL_ADD_04_Qs_All[[#This Row],[Required?]]="No", TBL_ADD_04_Qs_All[[#This Row],[Section]]="IntSV", TBL_ADD_04_Qs_All[[#This Row],[Question / Sub-question]]="Not used"), "-", "")</f>
        <v>-</v>
      </c>
      <c r="E24" s="426" t="str">
        <f>IF(OR(TBL_ADD_04_Qs_All[[#This Row],[Type]]="Overview", TBL_ADD_04_Qs_All[[#This Row],[Type]]="Sub-question", TBL_ADD_04_Qs_All[[#This Row],[Required?]]="No", TBL_ADD_04_Qs_All[[#This Row],[Section]]="IntSV", TBL_ADD_04_Qs_All[[#This Row],[Question / Sub-question]]="Not used"), "-", "")</f>
        <v>-</v>
      </c>
      <c r="F24" s="427" t="str">
        <f>IF(OR(TBL_ADD_04_Qs_All[[#This Row],[Required?]]="No", TBL_ADD_04_Qs_All[[#This Row],[Section]]="IntSV", TBL_ADD_04_Qs_All[[#This Row],[Question / Sub-question]]="Not used"), "-", IF(TBL_ADD_04_Qs_All[[#This Row],[Type]]="Question", TBL_ADD_04_Qs_All[[#This Row],[No.subs]]*500, "-"))</f>
        <v>-</v>
      </c>
      <c r="G24"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 s="426" t="str">
        <f t="array" ref="I2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 s="424" t="s">
        <v>332</v>
      </c>
      <c r="K24" s="426" t="s">
        <v>224</v>
      </c>
      <c r="L24" s="428" t="s">
        <v>575</v>
      </c>
      <c r="M24" s="426" t="s">
        <v>2159</v>
      </c>
      <c r="N2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24" s="22"/>
      <c r="S24" s="22"/>
    </row>
    <row r="25" spans="1:19" s="14" customFormat="1">
      <c r="A25" s="424" t="str">
        <f>IF(TBL_ADD_04_Qs_All[[#This Row],[Type]]="Question", K26, IF(TBL_ADD_04_Qs_All[[#This Row],[Sub_No]]="N/A", "-", CONCATENATE(TBL_ADD_04_Qs_All[[#This Row],[Q_No]], TBL_ADD_04_Qs_All[[#This Row],[Sub_No]])))</f>
        <v>Q6.2.9</v>
      </c>
      <c r="B25" s="424" t="s">
        <v>152</v>
      </c>
      <c r="C25"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 s="426" t="str">
        <f>IF(OR(TBL_ADD_04_Qs_All[[#This Row],[Type]]="Overview", TBL_ADD_04_Qs_All[[#This Row],[Type]]="Sub-question", TBL_ADD_04_Qs_All[[#This Row],[Required?]]="No", TBL_ADD_04_Qs_All[[#This Row],[Section]]="IntSV", TBL_ADD_04_Qs_All[[#This Row],[Question / Sub-question]]="Not used"), "-", "")</f>
        <v>-</v>
      </c>
      <c r="E25" s="426" t="str">
        <f>IF(OR(TBL_ADD_04_Qs_All[[#This Row],[Type]]="Overview", TBL_ADD_04_Qs_All[[#This Row],[Type]]="Sub-question", TBL_ADD_04_Qs_All[[#This Row],[Required?]]="No", TBL_ADD_04_Qs_All[[#This Row],[Section]]="IntSV", TBL_ADD_04_Qs_All[[#This Row],[Question / Sub-question]]="Not used"), "-", "")</f>
        <v>-</v>
      </c>
      <c r="F25" s="427" t="str">
        <f>IF(OR(TBL_ADD_04_Qs_All[[#This Row],[Required?]]="No", TBL_ADD_04_Qs_All[[#This Row],[Section]]="IntSV", TBL_ADD_04_Qs_All[[#This Row],[Question / Sub-question]]="Not used"), "-", IF(TBL_ADD_04_Qs_All[[#This Row],[Type]]="Question", TBL_ADD_04_Qs_All[[#This Row],[No.subs]]*500, "-"))</f>
        <v>-</v>
      </c>
      <c r="G25"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 s="426" t="str">
        <f t="array" ref="I2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 s="424" t="s">
        <v>332</v>
      </c>
      <c r="K25" s="426" t="s">
        <v>224</v>
      </c>
      <c r="L25" s="428" t="s">
        <v>576</v>
      </c>
      <c r="M25" s="426" t="s">
        <v>2159</v>
      </c>
      <c r="N2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25" s="22"/>
      <c r="S25" s="22"/>
    </row>
    <row r="26" spans="1:19" s="14" customFormat="1">
      <c r="A26" s="424" t="str">
        <f>IF(TBL_ADD_04_Qs_All[[#This Row],[Type]]="Question", K27, IF(TBL_ADD_04_Qs_All[[#This Row],[Sub_No]]="N/A", "-", CONCATENATE(TBL_ADD_04_Qs_All[[#This Row],[Q_No]], TBL_ADD_04_Qs_All[[#This Row],[Sub_No]])))</f>
        <v>Q6.2.10</v>
      </c>
      <c r="B26" s="424" t="s">
        <v>152</v>
      </c>
      <c r="C26"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 s="426" t="str">
        <f>IF(OR(TBL_ADD_04_Qs_All[[#This Row],[Type]]="Overview", TBL_ADD_04_Qs_All[[#This Row],[Type]]="Sub-question", TBL_ADD_04_Qs_All[[#This Row],[Required?]]="No", TBL_ADD_04_Qs_All[[#This Row],[Section]]="IntSV", TBL_ADD_04_Qs_All[[#This Row],[Question / Sub-question]]="Not used"), "-", "")</f>
        <v>-</v>
      </c>
      <c r="E26" s="426" t="str">
        <f>IF(OR(TBL_ADD_04_Qs_All[[#This Row],[Type]]="Overview", TBL_ADD_04_Qs_All[[#This Row],[Type]]="Sub-question", TBL_ADD_04_Qs_All[[#This Row],[Required?]]="No", TBL_ADD_04_Qs_All[[#This Row],[Section]]="IntSV", TBL_ADD_04_Qs_All[[#This Row],[Question / Sub-question]]="Not used"), "-", "")</f>
        <v>-</v>
      </c>
      <c r="F26" s="427" t="str">
        <f>IF(OR(TBL_ADD_04_Qs_All[[#This Row],[Required?]]="No", TBL_ADD_04_Qs_All[[#This Row],[Section]]="IntSV", TBL_ADD_04_Qs_All[[#This Row],[Question / Sub-question]]="Not used"), "-", IF(TBL_ADD_04_Qs_All[[#This Row],[Type]]="Question", TBL_ADD_04_Qs_All[[#This Row],[No.subs]]*500, "-"))</f>
        <v>-</v>
      </c>
      <c r="G26"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 s="426" t="str">
        <f t="array" ref="I2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 s="424" t="s">
        <v>332</v>
      </c>
      <c r="K26" s="426" t="s">
        <v>224</v>
      </c>
      <c r="L26" s="428" t="s">
        <v>577</v>
      </c>
      <c r="M26" s="426" t="s">
        <v>2159</v>
      </c>
      <c r="N2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R26" s="22"/>
      <c r="S26" s="22"/>
    </row>
    <row r="27" spans="1:19" s="14" customFormat="1" ht="39">
      <c r="A27" s="424" t="str">
        <f>IF(TBL_ADD_04_Qs_All[[#This Row],[Type]]="Question", K28, IF(TBL_ADD_04_Qs_All[[#This Row],[Sub_No]]="N/A", "-", CONCATENATE(TBL_ADD_04_Qs_All[[#This Row],[Q_No]], TBL_ADD_04_Qs_All[[#This Row],[Sub_No]])))</f>
        <v>Q6.3</v>
      </c>
      <c r="B27" s="424" t="str">
        <f t="array" ref="B27">IF(TBL_ADD_04_Qs_All[[#This Row],[Required?]]="No", "Not used", IF(REF_CCS_Q="Yes", "If you cannot provide at least one example for Q6.1, in no more than 500 words, please provide examples in the past but not under a contract.", ""))</f>
        <v/>
      </c>
      <c r="C27"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The maximum score for Q6.3 is 5.00 marks (1 elements x 5.00 marks)</v>
      </c>
      <c r="D27" s="426" t="str">
        <f>IF(OR(TBL_ADD_04_Qs_All[[#This Row],[Type]]="Overview", TBL_ADD_04_Qs_All[[#This Row],[Type]]="Sub-question", TBL_ADD_04_Qs_All[[#This Row],[Required?]]="No", TBL_ADD_04_Qs_All[[#This Row],[Section]]="IntSV", TBL_ADD_04_Qs_All[[#This Row],[Question / Sub-question]]="Not used"), "-", "")</f>
        <v/>
      </c>
      <c r="E27" s="426" t="str">
        <f>IF(OR(TBL_ADD_04_Qs_All[[#This Row],[Type]]="Overview", TBL_ADD_04_Qs_All[[#This Row],[Type]]="Sub-question", TBL_ADD_04_Qs_All[[#This Row],[Required?]]="No", TBL_ADD_04_Qs_All[[#This Row],[Section]]="IntSV", TBL_ADD_04_Qs_All[[#This Row],[Question / Sub-question]]="Not used"), "-", "")</f>
        <v/>
      </c>
      <c r="F27" s="427">
        <f>IF(OR(TBL_ADD_04_Qs_All[[#This Row],[Required?]]="No", TBL_ADD_04_Qs_All[[#This Row],[Section]]="IntSV", TBL_ADD_04_Qs_All[[#This Row],[Question / Sub-question]]="Not used"), "-", IF(TBL_ADD_04_Qs_All[[#This Row],[Type]]="Question", TBL_ADD_04_Qs_All[[#This Row],[No.subs]]*500, "-"))</f>
        <v>500</v>
      </c>
      <c r="G27"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27"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1</v>
      </c>
      <c r="I27" s="426">
        <f t="array" ref="I2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5</v>
      </c>
      <c r="J27" s="424" t="s">
        <v>146</v>
      </c>
      <c r="K27" s="426" t="s">
        <v>24</v>
      </c>
      <c r="L27" s="426" t="s">
        <v>24</v>
      </c>
      <c r="M27" s="426" t="s">
        <v>2159</v>
      </c>
      <c r="N2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The response to Q6.3 should have a word count of not more than 500 words.</v>
      </c>
      <c r="R27" s="22"/>
      <c r="S27" s="22"/>
    </row>
    <row r="28" spans="1:19" s="14" customFormat="1">
      <c r="A28" s="424" t="str">
        <f>IF(TBL_ADD_04_Qs_All[[#This Row],[Type]]="Question", K29, IF(TBL_ADD_04_Qs_All[[#This Row],[Sub_No]]="N/A", "-", CONCATENATE(TBL_ADD_04_Qs_All[[#This Row],[Q_No]], TBL_ADD_04_Qs_All[[#This Row],[Sub_No]])))</f>
        <v>Q6.3.1</v>
      </c>
      <c r="B28" s="429" t="str">
        <f>IF(TBL_ADD_04_Qs_All[[#This Row],[Required?]]="No", "Not used", IF(REF_CCS_Q="Yes", $R$2&amp;'Project Info'!$K$15&amp;$S$2, ""))</f>
        <v/>
      </c>
      <c r="C28" s="426">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5</v>
      </c>
      <c r="D28" s="426" t="str">
        <f>IF(OR(TBL_ADD_04_Qs_All[[#This Row],[Type]]="Overview", TBL_ADD_04_Qs_All[[#This Row],[Type]]="Sub-question", TBL_ADD_04_Qs_All[[#This Row],[Required?]]="No", TBL_ADD_04_Qs_All[[#This Row],[Section]]="IntSV", TBL_ADD_04_Qs_All[[#This Row],[Question / Sub-question]]="Not used"), "-", "")</f>
        <v>-</v>
      </c>
      <c r="E28" s="426" t="str">
        <f>IF(OR(TBL_ADD_04_Qs_All[[#This Row],[Type]]="Overview", TBL_ADD_04_Qs_All[[#This Row],[Type]]="Sub-question", TBL_ADD_04_Qs_All[[#This Row],[Required?]]="No", TBL_ADD_04_Qs_All[[#This Row],[Section]]="IntSV", TBL_ADD_04_Qs_All[[#This Row],[Question / Sub-question]]="Not used"), "-", "")</f>
        <v>-</v>
      </c>
      <c r="F28" s="427" t="str">
        <f>IF(OR(TBL_ADD_04_Qs_All[[#This Row],[Required?]]="No", TBL_ADD_04_Qs_All[[#This Row],[Section]]="IntSV", TBL_ADD_04_Qs_All[[#This Row],[Question / Sub-question]]="Not used"), "-", IF(TBL_ADD_04_Qs_All[[#This Row],[Type]]="Question", TBL_ADD_04_Qs_All[[#This Row],[No.subs]]*500, "-"))</f>
        <v>-</v>
      </c>
      <c r="G28"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 s="426" t="str">
        <f t="array" ref="I2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 s="424" t="s">
        <v>332</v>
      </c>
      <c r="K28" s="426" t="s">
        <v>225</v>
      </c>
      <c r="L28" s="428" t="s">
        <v>568</v>
      </c>
      <c r="M28" s="426" t="s">
        <v>2159</v>
      </c>
      <c r="N2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S28" s="22"/>
    </row>
    <row r="29" spans="1:19" s="14" customFormat="1">
      <c r="A29" s="424" t="str">
        <f>IF(TBL_ADD_04_Qs_All[[#This Row],[Type]]="Question", K30, IF(TBL_ADD_04_Qs_All[[#This Row],[Sub_No]]="N/A", "-", CONCATENATE(TBL_ADD_04_Qs_All[[#This Row],[Q_No]], TBL_ADD_04_Qs_All[[#This Row],[Sub_No]])))</f>
        <v>Q6.3.2</v>
      </c>
      <c r="B29" s="424" t="s">
        <v>152</v>
      </c>
      <c r="C29"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 s="426" t="str">
        <f>IF(OR(TBL_ADD_04_Qs_All[[#This Row],[Type]]="Overview", TBL_ADD_04_Qs_All[[#This Row],[Type]]="Sub-question", TBL_ADD_04_Qs_All[[#This Row],[Required?]]="No", TBL_ADD_04_Qs_All[[#This Row],[Section]]="IntSV", TBL_ADD_04_Qs_All[[#This Row],[Question / Sub-question]]="Not used"), "-", "")</f>
        <v>-</v>
      </c>
      <c r="E29" s="426" t="str">
        <f>IF(OR(TBL_ADD_04_Qs_All[[#This Row],[Type]]="Overview", TBL_ADD_04_Qs_All[[#This Row],[Type]]="Sub-question", TBL_ADD_04_Qs_All[[#This Row],[Required?]]="No", TBL_ADD_04_Qs_All[[#This Row],[Section]]="IntSV", TBL_ADD_04_Qs_All[[#This Row],[Question / Sub-question]]="Not used"), "-", "")</f>
        <v>-</v>
      </c>
      <c r="F29" s="427" t="str">
        <f>IF(OR(TBL_ADD_04_Qs_All[[#This Row],[Required?]]="No", TBL_ADD_04_Qs_All[[#This Row],[Section]]="IntSV", TBL_ADD_04_Qs_All[[#This Row],[Question / Sub-question]]="Not used"), "-", IF(TBL_ADD_04_Qs_All[[#This Row],[Type]]="Question", TBL_ADD_04_Qs_All[[#This Row],[No.subs]]*500, "-"))</f>
        <v>-</v>
      </c>
      <c r="G29"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 s="426" t="str">
        <f t="array" ref="I2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 s="424" t="s">
        <v>332</v>
      </c>
      <c r="K29" s="426" t="s">
        <v>225</v>
      </c>
      <c r="L29" s="428" t="s">
        <v>572</v>
      </c>
      <c r="M29" s="426" t="s">
        <v>2159</v>
      </c>
      <c r="N2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29" s="22"/>
      <c r="R29" s="22"/>
      <c r="S29" s="22"/>
    </row>
    <row r="30" spans="1:19" s="14" customFormat="1">
      <c r="A30" s="424" t="str">
        <f>IF(TBL_ADD_04_Qs_All[[#This Row],[Type]]="Question", K31, IF(TBL_ADD_04_Qs_All[[#This Row],[Sub_No]]="N/A", "-", CONCATENATE(TBL_ADD_04_Qs_All[[#This Row],[Q_No]], TBL_ADD_04_Qs_All[[#This Row],[Sub_No]])))</f>
        <v>Q6.3.3</v>
      </c>
      <c r="B30" s="424" t="s">
        <v>152</v>
      </c>
      <c r="C30"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 s="426" t="str">
        <f>IF(OR(TBL_ADD_04_Qs_All[[#This Row],[Type]]="Overview", TBL_ADD_04_Qs_All[[#This Row],[Type]]="Sub-question", TBL_ADD_04_Qs_All[[#This Row],[Required?]]="No", TBL_ADD_04_Qs_All[[#This Row],[Section]]="IntSV", TBL_ADD_04_Qs_All[[#This Row],[Question / Sub-question]]="Not used"), "-", "")</f>
        <v>-</v>
      </c>
      <c r="E30" s="426" t="str">
        <f>IF(OR(TBL_ADD_04_Qs_All[[#This Row],[Type]]="Overview", TBL_ADD_04_Qs_All[[#This Row],[Type]]="Sub-question", TBL_ADD_04_Qs_All[[#This Row],[Required?]]="No", TBL_ADD_04_Qs_All[[#This Row],[Section]]="IntSV", TBL_ADD_04_Qs_All[[#This Row],[Question / Sub-question]]="Not used"), "-", "")</f>
        <v>-</v>
      </c>
      <c r="F30" s="427" t="str">
        <f>IF(OR(TBL_ADD_04_Qs_All[[#This Row],[Required?]]="No", TBL_ADD_04_Qs_All[[#This Row],[Section]]="IntSV", TBL_ADD_04_Qs_All[[#This Row],[Question / Sub-question]]="Not used"), "-", IF(TBL_ADD_04_Qs_All[[#This Row],[Type]]="Question", TBL_ADD_04_Qs_All[[#This Row],[No.subs]]*500, "-"))</f>
        <v>-</v>
      </c>
      <c r="G30"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 s="426" t="str">
        <f t="array" ref="I3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 s="424" t="s">
        <v>332</v>
      </c>
      <c r="K30" s="426" t="s">
        <v>225</v>
      </c>
      <c r="L30" s="428" t="s">
        <v>569</v>
      </c>
      <c r="M30" s="426" t="s">
        <v>2159</v>
      </c>
      <c r="N3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0" s="22"/>
      <c r="R30" s="22"/>
      <c r="S30" s="22"/>
    </row>
    <row r="31" spans="1:19" s="14" customFormat="1">
      <c r="A31" s="424" t="str">
        <f>IF(TBL_ADD_04_Qs_All[[#This Row],[Type]]="Question", K32, IF(TBL_ADD_04_Qs_All[[#This Row],[Sub_No]]="N/A", "-", CONCATENATE(TBL_ADD_04_Qs_All[[#This Row],[Q_No]], TBL_ADD_04_Qs_All[[#This Row],[Sub_No]])))</f>
        <v>Q6.3.4</v>
      </c>
      <c r="B31" s="424" t="s">
        <v>152</v>
      </c>
      <c r="C31"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1" s="426" t="str">
        <f>IF(OR(TBL_ADD_04_Qs_All[[#This Row],[Type]]="Overview", TBL_ADD_04_Qs_All[[#This Row],[Type]]="Sub-question", TBL_ADD_04_Qs_All[[#This Row],[Required?]]="No", TBL_ADD_04_Qs_All[[#This Row],[Section]]="IntSV", TBL_ADD_04_Qs_All[[#This Row],[Question / Sub-question]]="Not used"), "-", "")</f>
        <v>-</v>
      </c>
      <c r="E31" s="426" t="str">
        <f>IF(OR(TBL_ADD_04_Qs_All[[#This Row],[Type]]="Overview", TBL_ADD_04_Qs_All[[#This Row],[Type]]="Sub-question", TBL_ADD_04_Qs_All[[#This Row],[Required?]]="No", TBL_ADD_04_Qs_All[[#This Row],[Section]]="IntSV", TBL_ADD_04_Qs_All[[#This Row],[Question / Sub-question]]="Not used"), "-", "")</f>
        <v>-</v>
      </c>
      <c r="F31" s="427" t="str">
        <f>IF(OR(TBL_ADD_04_Qs_All[[#This Row],[Required?]]="No", TBL_ADD_04_Qs_All[[#This Row],[Section]]="IntSV", TBL_ADD_04_Qs_All[[#This Row],[Question / Sub-question]]="Not used"), "-", IF(TBL_ADD_04_Qs_All[[#This Row],[Type]]="Question", TBL_ADD_04_Qs_All[[#This Row],[No.subs]]*500, "-"))</f>
        <v>-</v>
      </c>
      <c r="G31"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1" s="426" t="str">
        <f t="array" ref="I3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1" s="424" t="s">
        <v>332</v>
      </c>
      <c r="K31" s="426" t="s">
        <v>225</v>
      </c>
      <c r="L31" s="428" t="s">
        <v>570</v>
      </c>
      <c r="M31" s="426" t="s">
        <v>2159</v>
      </c>
      <c r="N3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1" s="22"/>
      <c r="R31" s="22"/>
      <c r="S31" s="22"/>
    </row>
    <row r="32" spans="1:19" s="14" customFormat="1">
      <c r="A32" s="424" t="str">
        <f>IF(TBL_ADD_04_Qs_All[[#This Row],[Type]]="Question", K33, IF(TBL_ADD_04_Qs_All[[#This Row],[Sub_No]]="N/A", "-", CONCATENATE(TBL_ADD_04_Qs_All[[#This Row],[Q_No]], TBL_ADD_04_Qs_All[[#This Row],[Sub_No]])))</f>
        <v>Q6.3.5</v>
      </c>
      <c r="B32" s="424" t="s">
        <v>152</v>
      </c>
      <c r="C32"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2" s="426" t="str">
        <f>IF(OR(TBL_ADD_04_Qs_All[[#This Row],[Type]]="Overview", TBL_ADD_04_Qs_All[[#This Row],[Type]]="Sub-question", TBL_ADD_04_Qs_All[[#This Row],[Required?]]="No", TBL_ADD_04_Qs_All[[#This Row],[Section]]="IntSV", TBL_ADD_04_Qs_All[[#This Row],[Question / Sub-question]]="Not used"), "-", "")</f>
        <v>-</v>
      </c>
      <c r="E32" s="426" t="str">
        <f>IF(OR(TBL_ADD_04_Qs_All[[#This Row],[Type]]="Overview", TBL_ADD_04_Qs_All[[#This Row],[Type]]="Sub-question", TBL_ADD_04_Qs_All[[#This Row],[Required?]]="No", TBL_ADD_04_Qs_All[[#This Row],[Section]]="IntSV", TBL_ADD_04_Qs_All[[#This Row],[Question / Sub-question]]="Not used"), "-", "")</f>
        <v>-</v>
      </c>
      <c r="F32" s="427" t="str">
        <f>IF(OR(TBL_ADD_04_Qs_All[[#This Row],[Required?]]="No", TBL_ADD_04_Qs_All[[#This Row],[Section]]="IntSV", TBL_ADD_04_Qs_All[[#This Row],[Question / Sub-question]]="Not used"), "-", IF(TBL_ADD_04_Qs_All[[#This Row],[Type]]="Question", TBL_ADD_04_Qs_All[[#This Row],[No.subs]]*500, "-"))</f>
        <v>-</v>
      </c>
      <c r="G32"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2" s="426" t="str">
        <f t="array" ref="I3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2" s="424" t="s">
        <v>332</v>
      </c>
      <c r="K32" s="426" t="s">
        <v>225</v>
      </c>
      <c r="L32" s="428" t="s">
        <v>571</v>
      </c>
      <c r="M32" s="426" t="s">
        <v>2159</v>
      </c>
      <c r="N3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2" s="22"/>
      <c r="R32" s="22"/>
      <c r="S32" s="22"/>
    </row>
    <row r="33" spans="1:19" s="14" customFormat="1">
      <c r="A33" s="424" t="str">
        <f>IF(TBL_ADD_04_Qs_All[[#This Row],[Type]]="Question", K34, IF(TBL_ADD_04_Qs_All[[#This Row],[Sub_No]]="N/A", "-", CONCATENATE(TBL_ADD_04_Qs_All[[#This Row],[Q_No]], TBL_ADD_04_Qs_All[[#This Row],[Sub_No]])))</f>
        <v>Q6.3.6</v>
      </c>
      <c r="B33" s="424" t="s">
        <v>152</v>
      </c>
      <c r="C33"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3" s="426" t="str">
        <f>IF(OR(TBL_ADD_04_Qs_All[[#This Row],[Type]]="Overview", TBL_ADD_04_Qs_All[[#This Row],[Type]]="Sub-question", TBL_ADD_04_Qs_All[[#This Row],[Required?]]="No", TBL_ADD_04_Qs_All[[#This Row],[Section]]="IntSV", TBL_ADD_04_Qs_All[[#This Row],[Question / Sub-question]]="Not used"), "-", "")</f>
        <v>-</v>
      </c>
      <c r="E33" s="426" t="str">
        <f>IF(OR(TBL_ADD_04_Qs_All[[#This Row],[Type]]="Overview", TBL_ADD_04_Qs_All[[#This Row],[Type]]="Sub-question", TBL_ADD_04_Qs_All[[#This Row],[Required?]]="No", TBL_ADD_04_Qs_All[[#This Row],[Section]]="IntSV", TBL_ADD_04_Qs_All[[#This Row],[Question / Sub-question]]="Not used"), "-", "")</f>
        <v>-</v>
      </c>
      <c r="F33" s="427" t="str">
        <f>IF(OR(TBL_ADD_04_Qs_All[[#This Row],[Required?]]="No", TBL_ADD_04_Qs_All[[#This Row],[Section]]="IntSV", TBL_ADD_04_Qs_All[[#This Row],[Question / Sub-question]]="Not used"), "-", IF(TBL_ADD_04_Qs_All[[#This Row],[Type]]="Question", TBL_ADD_04_Qs_All[[#This Row],[No.subs]]*500, "-"))</f>
        <v>-</v>
      </c>
      <c r="G33"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3" s="426" t="str">
        <f t="array" ref="I3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3" s="424" t="s">
        <v>332</v>
      </c>
      <c r="K33" s="426" t="s">
        <v>225</v>
      </c>
      <c r="L33" s="428" t="s">
        <v>573</v>
      </c>
      <c r="M33" s="426" t="s">
        <v>2159</v>
      </c>
      <c r="N3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3" s="22"/>
      <c r="R33" s="22"/>
      <c r="S33" s="22"/>
    </row>
    <row r="34" spans="1:19" s="14" customFormat="1">
      <c r="A34" s="424" t="str">
        <f>IF(TBL_ADD_04_Qs_All[[#This Row],[Type]]="Question", K35, IF(TBL_ADD_04_Qs_All[[#This Row],[Sub_No]]="N/A", "-", CONCATENATE(TBL_ADD_04_Qs_All[[#This Row],[Q_No]], TBL_ADD_04_Qs_All[[#This Row],[Sub_No]])))</f>
        <v>Q6.3.7</v>
      </c>
      <c r="B34" s="424" t="s">
        <v>152</v>
      </c>
      <c r="C34"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4" s="426" t="str">
        <f>IF(OR(TBL_ADD_04_Qs_All[[#This Row],[Type]]="Overview", TBL_ADD_04_Qs_All[[#This Row],[Type]]="Sub-question", TBL_ADD_04_Qs_All[[#This Row],[Required?]]="No", TBL_ADD_04_Qs_All[[#This Row],[Section]]="IntSV", TBL_ADD_04_Qs_All[[#This Row],[Question / Sub-question]]="Not used"), "-", "")</f>
        <v>-</v>
      </c>
      <c r="E34" s="426" t="str">
        <f>IF(OR(TBL_ADD_04_Qs_All[[#This Row],[Type]]="Overview", TBL_ADD_04_Qs_All[[#This Row],[Type]]="Sub-question", TBL_ADD_04_Qs_All[[#This Row],[Required?]]="No", TBL_ADD_04_Qs_All[[#This Row],[Section]]="IntSV", TBL_ADD_04_Qs_All[[#This Row],[Question / Sub-question]]="Not used"), "-", "")</f>
        <v>-</v>
      </c>
      <c r="F34" s="427" t="str">
        <f>IF(OR(TBL_ADD_04_Qs_All[[#This Row],[Required?]]="No", TBL_ADD_04_Qs_All[[#This Row],[Section]]="IntSV", TBL_ADD_04_Qs_All[[#This Row],[Question / Sub-question]]="Not used"), "-", IF(TBL_ADD_04_Qs_All[[#This Row],[Type]]="Question", TBL_ADD_04_Qs_All[[#This Row],[No.subs]]*500, "-"))</f>
        <v>-</v>
      </c>
      <c r="G34"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4" s="426" t="str">
        <f t="array" ref="I3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4" s="424" t="s">
        <v>332</v>
      </c>
      <c r="K34" s="426" t="s">
        <v>225</v>
      </c>
      <c r="L34" s="428" t="s">
        <v>574</v>
      </c>
      <c r="M34" s="426" t="s">
        <v>2159</v>
      </c>
      <c r="N3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4" s="22"/>
      <c r="R34" s="22"/>
      <c r="S34" s="22"/>
    </row>
    <row r="35" spans="1:19" s="14" customFormat="1">
      <c r="A35" s="424" t="str">
        <f>IF(TBL_ADD_04_Qs_All[[#This Row],[Type]]="Question", K36, IF(TBL_ADD_04_Qs_All[[#This Row],[Sub_No]]="N/A", "-", CONCATENATE(TBL_ADD_04_Qs_All[[#This Row],[Q_No]], TBL_ADD_04_Qs_All[[#This Row],[Sub_No]])))</f>
        <v>Q6.3.8</v>
      </c>
      <c r="B35" s="424" t="s">
        <v>152</v>
      </c>
      <c r="C35"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5" s="426" t="str">
        <f>IF(OR(TBL_ADD_04_Qs_All[[#This Row],[Type]]="Overview", TBL_ADD_04_Qs_All[[#This Row],[Type]]="Sub-question", TBL_ADD_04_Qs_All[[#This Row],[Required?]]="No", TBL_ADD_04_Qs_All[[#This Row],[Section]]="IntSV", TBL_ADD_04_Qs_All[[#This Row],[Question / Sub-question]]="Not used"), "-", "")</f>
        <v>-</v>
      </c>
      <c r="E35" s="426" t="str">
        <f>IF(OR(TBL_ADD_04_Qs_All[[#This Row],[Type]]="Overview", TBL_ADD_04_Qs_All[[#This Row],[Type]]="Sub-question", TBL_ADD_04_Qs_All[[#This Row],[Required?]]="No", TBL_ADD_04_Qs_All[[#This Row],[Section]]="IntSV", TBL_ADD_04_Qs_All[[#This Row],[Question / Sub-question]]="Not used"), "-", "")</f>
        <v>-</v>
      </c>
      <c r="F35" s="427" t="str">
        <f>IF(OR(TBL_ADD_04_Qs_All[[#This Row],[Required?]]="No", TBL_ADD_04_Qs_All[[#This Row],[Section]]="IntSV", TBL_ADD_04_Qs_All[[#This Row],[Question / Sub-question]]="Not used"), "-", IF(TBL_ADD_04_Qs_All[[#This Row],[Type]]="Question", TBL_ADD_04_Qs_All[[#This Row],[No.subs]]*500, "-"))</f>
        <v>-</v>
      </c>
      <c r="G35"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5" s="426" t="str">
        <f t="array" ref="I3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5" s="424" t="s">
        <v>332</v>
      </c>
      <c r="K35" s="426" t="s">
        <v>225</v>
      </c>
      <c r="L35" s="428" t="s">
        <v>575</v>
      </c>
      <c r="M35" s="426" t="s">
        <v>2159</v>
      </c>
      <c r="N3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5" s="22"/>
      <c r="R35" s="22"/>
      <c r="S35" s="22"/>
    </row>
    <row r="36" spans="1:19" s="14" customFormat="1">
      <c r="A36" s="424" t="str">
        <f>IF(TBL_ADD_04_Qs_All[[#This Row],[Type]]="Question", K37, IF(TBL_ADD_04_Qs_All[[#This Row],[Sub_No]]="N/A", "-", CONCATENATE(TBL_ADD_04_Qs_All[[#This Row],[Q_No]], TBL_ADD_04_Qs_All[[#This Row],[Sub_No]])))</f>
        <v>Q6.3.9</v>
      </c>
      <c r="B36" s="424" t="s">
        <v>152</v>
      </c>
      <c r="C36"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6" s="426" t="str">
        <f>IF(OR(TBL_ADD_04_Qs_All[[#This Row],[Type]]="Overview", TBL_ADD_04_Qs_All[[#This Row],[Type]]="Sub-question", TBL_ADD_04_Qs_All[[#This Row],[Required?]]="No", TBL_ADD_04_Qs_All[[#This Row],[Section]]="IntSV", TBL_ADD_04_Qs_All[[#This Row],[Question / Sub-question]]="Not used"), "-", "")</f>
        <v>-</v>
      </c>
      <c r="E36" s="426" t="str">
        <f>IF(OR(TBL_ADD_04_Qs_All[[#This Row],[Type]]="Overview", TBL_ADD_04_Qs_All[[#This Row],[Type]]="Sub-question", TBL_ADD_04_Qs_All[[#This Row],[Required?]]="No", TBL_ADD_04_Qs_All[[#This Row],[Section]]="IntSV", TBL_ADD_04_Qs_All[[#This Row],[Question / Sub-question]]="Not used"), "-", "")</f>
        <v>-</v>
      </c>
      <c r="F36" s="427" t="str">
        <f>IF(OR(TBL_ADD_04_Qs_All[[#This Row],[Required?]]="No", TBL_ADD_04_Qs_All[[#This Row],[Section]]="IntSV", TBL_ADD_04_Qs_All[[#This Row],[Question / Sub-question]]="Not used"), "-", IF(TBL_ADD_04_Qs_All[[#This Row],[Type]]="Question", TBL_ADD_04_Qs_All[[#This Row],[No.subs]]*500, "-"))</f>
        <v>-</v>
      </c>
      <c r="G36"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6" s="426" t="str">
        <f t="array" ref="I3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6" s="424" t="s">
        <v>332</v>
      </c>
      <c r="K36" s="426" t="s">
        <v>225</v>
      </c>
      <c r="L36" s="428" t="s">
        <v>576</v>
      </c>
      <c r="M36" s="426" t="s">
        <v>2159</v>
      </c>
      <c r="N3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6" s="22"/>
      <c r="R36" s="22"/>
      <c r="S36" s="22"/>
    </row>
    <row r="37" spans="1:19" s="14" customFormat="1">
      <c r="A37" s="424" t="str">
        <f>IF(TBL_ADD_04_Qs_All[[#This Row],[Type]]="Question", K38, IF(TBL_ADD_04_Qs_All[[#This Row],[Sub_No]]="N/A", "-", CONCATENATE(TBL_ADD_04_Qs_All[[#This Row],[Q_No]], TBL_ADD_04_Qs_All[[#This Row],[Sub_No]])))</f>
        <v>Q6.3.10</v>
      </c>
      <c r="B37" s="424" t="s">
        <v>152</v>
      </c>
      <c r="C37"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7" s="426" t="str">
        <f>IF(OR(TBL_ADD_04_Qs_All[[#This Row],[Type]]="Overview", TBL_ADD_04_Qs_All[[#This Row],[Type]]="Sub-question", TBL_ADD_04_Qs_All[[#This Row],[Required?]]="No", TBL_ADD_04_Qs_All[[#This Row],[Section]]="IntSV", TBL_ADD_04_Qs_All[[#This Row],[Question / Sub-question]]="Not used"), "-", "")</f>
        <v>-</v>
      </c>
      <c r="E37" s="426" t="str">
        <f>IF(OR(TBL_ADD_04_Qs_All[[#This Row],[Type]]="Overview", TBL_ADD_04_Qs_All[[#This Row],[Type]]="Sub-question", TBL_ADD_04_Qs_All[[#This Row],[Required?]]="No", TBL_ADD_04_Qs_All[[#This Row],[Section]]="IntSV", TBL_ADD_04_Qs_All[[#This Row],[Question / Sub-question]]="Not used"), "-", "")</f>
        <v>-</v>
      </c>
      <c r="F37" s="427" t="str">
        <f>IF(OR(TBL_ADD_04_Qs_All[[#This Row],[Required?]]="No", TBL_ADD_04_Qs_All[[#This Row],[Section]]="IntSV", TBL_ADD_04_Qs_All[[#This Row],[Question / Sub-question]]="Not used"), "-", IF(TBL_ADD_04_Qs_All[[#This Row],[Type]]="Question", TBL_ADD_04_Qs_All[[#This Row],[No.subs]]*500, "-"))</f>
        <v>-</v>
      </c>
      <c r="G37"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7" s="426" t="str">
        <f t="array" ref="I3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7" s="424" t="s">
        <v>332</v>
      </c>
      <c r="K37" s="426" t="s">
        <v>225</v>
      </c>
      <c r="L37" s="428" t="s">
        <v>577</v>
      </c>
      <c r="M37" s="426" t="s">
        <v>2159</v>
      </c>
      <c r="N3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c r="Q37" s="22"/>
      <c r="R37" s="22"/>
      <c r="S37" s="22"/>
    </row>
    <row r="38" spans="1:19" ht="13">
      <c r="A38" s="424" t="str">
        <f>IF(TBL_ADD_04_Qs_All[[#This Row],[Type]]="Question", K39, IF(TBL_ADD_04_Qs_All[[#This Row],[Sub_No]]="N/A", "-", CONCATENATE(TBL_ADD_04_Qs_All[[#This Row],[Q_No]], TBL_ADD_04_Qs_All[[#This Row],[Sub_No]])))</f>
        <v>Q6.4</v>
      </c>
      <c r="B38" s="424" t="s">
        <v>152</v>
      </c>
      <c r="C38"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38" s="426" t="str">
        <f>IF(OR(TBL_ADD_04_Qs_All[[#This Row],[Type]]="Overview", TBL_ADD_04_Qs_All[[#This Row],[Type]]="Sub-question", TBL_ADD_04_Qs_All[[#This Row],[Required?]]="No", TBL_ADD_04_Qs_All[[#This Row],[Section]]="IntSV", TBL_ADD_04_Qs_All[[#This Row],[Question / Sub-question]]="Not used"), "-", "")</f>
        <v>-</v>
      </c>
      <c r="E38" s="426" t="str">
        <f>IF(OR(TBL_ADD_04_Qs_All[[#This Row],[Type]]="Overview", TBL_ADD_04_Qs_All[[#This Row],[Type]]="Sub-question", TBL_ADD_04_Qs_All[[#This Row],[Required?]]="No", TBL_ADD_04_Qs_All[[#This Row],[Section]]="IntSV", TBL_ADD_04_Qs_All[[#This Row],[Question / Sub-question]]="Not used"), "-", "")</f>
        <v>-</v>
      </c>
      <c r="F38" s="427" t="str">
        <f>IF(OR(TBL_ADD_04_Qs_All[[#This Row],[Required?]]="No", TBL_ADD_04_Qs_All[[#This Row],[Section]]="IntSV", TBL_ADD_04_Qs_All[[#This Row],[Question / Sub-question]]="Not used"), "-", IF(TBL_ADD_04_Qs_All[[#This Row],[Type]]="Question", TBL_ADD_04_Qs_All[[#This Row],[No.subs]]*500, "-"))</f>
        <v>-</v>
      </c>
      <c r="G38"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38"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38" s="426">
        <f t="array" ref="I3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38" s="424" t="s">
        <v>146</v>
      </c>
      <c r="K38" s="426" t="s">
        <v>24</v>
      </c>
      <c r="L38" s="426" t="s">
        <v>24</v>
      </c>
      <c r="M38" s="426" t="s">
        <v>2159</v>
      </c>
      <c r="N3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9" spans="1:19">
      <c r="A39" s="424" t="str">
        <f>IF(TBL_ADD_04_Qs_All[[#This Row],[Type]]="Question", K40, IF(TBL_ADD_04_Qs_All[[#This Row],[Sub_No]]="N/A", "-", CONCATENATE(TBL_ADD_04_Qs_All[[#This Row],[Q_No]], TBL_ADD_04_Qs_All[[#This Row],[Sub_No]])))</f>
        <v>Q6.4.1</v>
      </c>
      <c r="B39" s="424" t="s">
        <v>152</v>
      </c>
      <c r="C39"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9" s="426" t="str">
        <f>IF(OR(TBL_ADD_04_Qs_All[[#This Row],[Type]]="Overview", TBL_ADD_04_Qs_All[[#This Row],[Type]]="Sub-question", TBL_ADD_04_Qs_All[[#This Row],[Required?]]="No", TBL_ADD_04_Qs_All[[#This Row],[Section]]="IntSV", TBL_ADD_04_Qs_All[[#This Row],[Question / Sub-question]]="Not used"), "-", "")</f>
        <v>-</v>
      </c>
      <c r="E39" s="426" t="str">
        <f>IF(OR(TBL_ADD_04_Qs_All[[#This Row],[Type]]="Overview", TBL_ADD_04_Qs_All[[#This Row],[Type]]="Sub-question", TBL_ADD_04_Qs_All[[#This Row],[Required?]]="No", TBL_ADD_04_Qs_All[[#This Row],[Section]]="IntSV", TBL_ADD_04_Qs_All[[#This Row],[Question / Sub-question]]="Not used"), "-", "")</f>
        <v>-</v>
      </c>
      <c r="F39" s="427" t="str">
        <f>IF(OR(TBL_ADD_04_Qs_All[[#This Row],[Required?]]="No", TBL_ADD_04_Qs_All[[#This Row],[Section]]="IntSV", TBL_ADD_04_Qs_All[[#This Row],[Question / Sub-question]]="Not used"), "-", IF(TBL_ADD_04_Qs_All[[#This Row],[Type]]="Question", TBL_ADD_04_Qs_All[[#This Row],[No.subs]]*500, "-"))</f>
        <v>-</v>
      </c>
      <c r="G39"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9" s="426" t="str">
        <f t="array" ref="I3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9" s="424" t="s">
        <v>332</v>
      </c>
      <c r="K39" s="426" t="s">
        <v>153</v>
      </c>
      <c r="L39" s="428" t="s">
        <v>568</v>
      </c>
      <c r="M39" s="426" t="s">
        <v>2159</v>
      </c>
      <c r="N3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3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0" spans="1:19">
      <c r="A40" s="424" t="str">
        <f>IF(TBL_ADD_04_Qs_All[[#This Row],[Type]]="Question", K41, IF(TBL_ADD_04_Qs_All[[#This Row],[Sub_No]]="N/A", "-", CONCATENATE(TBL_ADD_04_Qs_All[[#This Row],[Q_No]], TBL_ADD_04_Qs_All[[#This Row],[Sub_No]])))</f>
        <v>Q6.4.2</v>
      </c>
      <c r="B40" s="424" t="s">
        <v>152</v>
      </c>
      <c r="C40"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0" s="426" t="str">
        <f>IF(OR(TBL_ADD_04_Qs_All[[#This Row],[Type]]="Overview", TBL_ADD_04_Qs_All[[#This Row],[Type]]="Sub-question", TBL_ADD_04_Qs_All[[#This Row],[Required?]]="No", TBL_ADD_04_Qs_All[[#This Row],[Section]]="IntSV", TBL_ADD_04_Qs_All[[#This Row],[Question / Sub-question]]="Not used"), "-", "")</f>
        <v>-</v>
      </c>
      <c r="E40" s="426" t="str">
        <f>IF(OR(TBL_ADD_04_Qs_All[[#This Row],[Type]]="Overview", TBL_ADD_04_Qs_All[[#This Row],[Type]]="Sub-question", TBL_ADD_04_Qs_All[[#This Row],[Required?]]="No", TBL_ADD_04_Qs_All[[#This Row],[Section]]="IntSV", TBL_ADD_04_Qs_All[[#This Row],[Question / Sub-question]]="Not used"), "-", "")</f>
        <v>-</v>
      </c>
      <c r="F40" s="427" t="str">
        <f>IF(OR(TBL_ADD_04_Qs_All[[#This Row],[Required?]]="No", TBL_ADD_04_Qs_All[[#This Row],[Section]]="IntSV", TBL_ADD_04_Qs_All[[#This Row],[Question / Sub-question]]="Not used"), "-", IF(TBL_ADD_04_Qs_All[[#This Row],[Type]]="Question", TBL_ADD_04_Qs_All[[#This Row],[No.subs]]*500, "-"))</f>
        <v>-</v>
      </c>
      <c r="G40"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0" s="426" t="str">
        <f t="array" ref="I4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0" s="424" t="s">
        <v>332</v>
      </c>
      <c r="K40" s="426" t="s">
        <v>153</v>
      </c>
      <c r="L40" s="428" t="s">
        <v>572</v>
      </c>
      <c r="M40" s="426" t="s">
        <v>2159</v>
      </c>
      <c r="N4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1" spans="1:19">
      <c r="A41" s="424" t="str">
        <f>IF(TBL_ADD_04_Qs_All[[#This Row],[Type]]="Question", K42, IF(TBL_ADD_04_Qs_All[[#This Row],[Sub_No]]="N/A", "-", CONCATENATE(TBL_ADD_04_Qs_All[[#This Row],[Q_No]], TBL_ADD_04_Qs_All[[#This Row],[Sub_No]])))</f>
        <v>Q6.4.3</v>
      </c>
      <c r="B41" s="424" t="s">
        <v>152</v>
      </c>
      <c r="C41"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1" s="426" t="str">
        <f>IF(OR(TBL_ADD_04_Qs_All[[#This Row],[Type]]="Overview", TBL_ADD_04_Qs_All[[#This Row],[Type]]="Sub-question", TBL_ADD_04_Qs_All[[#This Row],[Required?]]="No", TBL_ADD_04_Qs_All[[#This Row],[Section]]="IntSV", TBL_ADD_04_Qs_All[[#This Row],[Question / Sub-question]]="Not used"), "-", "")</f>
        <v>-</v>
      </c>
      <c r="E41" s="426" t="str">
        <f>IF(OR(TBL_ADD_04_Qs_All[[#This Row],[Type]]="Overview", TBL_ADD_04_Qs_All[[#This Row],[Type]]="Sub-question", TBL_ADD_04_Qs_All[[#This Row],[Required?]]="No", TBL_ADD_04_Qs_All[[#This Row],[Section]]="IntSV", TBL_ADD_04_Qs_All[[#This Row],[Question / Sub-question]]="Not used"), "-", "")</f>
        <v>-</v>
      </c>
      <c r="F41" s="427" t="str">
        <f>IF(OR(TBL_ADD_04_Qs_All[[#This Row],[Required?]]="No", TBL_ADD_04_Qs_All[[#This Row],[Section]]="IntSV", TBL_ADD_04_Qs_All[[#This Row],[Question / Sub-question]]="Not used"), "-", IF(TBL_ADD_04_Qs_All[[#This Row],[Type]]="Question", TBL_ADD_04_Qs_All[[#This Row],[No.subs]]*500, "-"))</f>
        <v>-</v>
      </c>
      <c r="G41"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1" s="426" t="str">
        <f t="array" ref="I4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1" s="424" t="s">
        <v>332</v>
      </c>
      <c r="K41" s="426" t="s">
        <v>153</v>
      </c>
      <c r="L41" s="428" t="s">
        <v>569</v>
      </c>
      <c r="M41" s="426" t="s">
        <v>2159</v>
      </c>
      <c r="N4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2" spans="1:19">
      <c r="A42" s="424" t="str">
        <f>IF(TBL_ADD_04_Qs_All[[#This Row],[Type]]="Question", K43, IF(TBL_ADD_04_Qs_All[[#This Row],[Sub_No]]="N/A", "-", CONCATENATE(TBL_ADD_04_Qs_All[[#This Row],[Q_No]], TBL_ADD_04_Qs_All[[#This Row],[Sub_No]])))</f>
        <v>Q6.4.4</v>
      </c>
      <c r="B42" s="424" t="s">
        <v>152</v>
      </c>
      <c r="C42"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2" s="426" t="str">
        <f>IF(OR(TBL_ADD_04_Qs_All[[#This Row],[Type]]="Overview", TBL_ADD_04_Qs_All[[#This Row],[Type]]="Sub-question", TBL_ADD_04_Qs_All[[#This Row],[Required?]]="No", TBL_ADD_04_Qs_All[[#This Row],[Section]]="IntSV", TBL_ADD_04_Qs_All[[#This Row],[Question / Sub-question]]="Not used"), "-", "")</f>
        <v>-</v>
      </c>
      <c r="E42" s="426" t="str">
        <f>IF(OR(TBL_ADD_04_Qs_All[[#This Row],[Type]]="Overview", TBL_ADD_04_Qs_All[[#This Row],[Type]]="Sub-question", TBL_ADD_04_Qs_All[[#This Row],[Required?]]="No", TBL_ADD_04_Qs_All[[#This Row],[Section]]="IntSV", TBL_ADD_04_Qs_All[[#This Row],[Question / Sub-question]]="Not used"), "-", "")</f>
        <v>-</v>
      </c>
      <c r="F42" s="427" t="str">
        <f>IF(OR(TBL_ADD_04_Qs_All[[#This Row],[Required?]]="No", TBL_ADD_04_Qs_All[[#This Row],[Section]]="IntSV", TBL_ADD_04_Qs_All[[#This Row],[Question / Sub-question]]="Not used"), "-", IF(TBL_ADD_04_Qs_All[[#This Row],[Type]]="Question", TBL_ADD_04_Qs_All[[#This Row],[No.subs]]*500, "-"))</f>
        <v>-</v>
      </c>
      <c r="G42"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2" s="426" t="str">
        <f t="array" ref="I4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2" s="424" t="s">
        <v>332</v>
      </c>
      <c r="K42" s="426" t="s">
        <v>153</v>
      </c>
      <c r="L42" s="428" t="s">
        <v>570</v>
      </c>
      <c r="M42" s="426" t="s">
        <v>2159</v>
      </c>
      <c r="N4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3" spans="1:19">
      <c r="A43" s="424" t="str">
        <f>IF(TBL_ADD_04_Qs_All[[#This Row],[Type]]="Question", K44, IF(TBL_ADD_04_Qs_All[[#This Row],[Sub_No]]="N/A", "-", CONCATENATE(TBL_ADD_04_Qs_All[[#This Row],[Q_No]], TBL_ADD_04_Qs_All[[#This Row],[Sub_No]])))</f>
        <v>Q6.4.5</v>
      </c>
      <c r="B43" s="424" t="s">
        <v>152</v>
      </c>
      <c r="C43"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3" s="426" t="str">
        <f>IF(OR(TBL_ADD_04_Qs_All[[#This Row],[Type]]="Overview", TBL_ADD_04_Qs_All[[#This Row],[Type]]="Sub-question", TBL_ADD_04_Qs_All[[#This Row],[Required?]]="No", TBL_ADD_04_Qs_All[[#This Row],[Section]]="IntSV", TBL_ADD_04_Qs_All[[#This Row],[Question / Sub-question]]="Not used"), "-", "")</f>
        <v>-</v>
      </c>
      <c r="E43" s="426" t="str">
        <f>IF(OR(TBL_ADD_04_Qs_All[[#This Row],[Type]]="Overview", TBL_ADD_04_Qs_All[[#This Row],[Type]]="Sub-question", TBL_ADD_04_Qs_All[[#This Row],[Required?]]="No", TBL_ADD_04_Qs_All[[#This Row],[Section]]="IntSV", TBL_ADD_04_Qs_All[[#This Row],[Question / Sub-question]]="Not used"), "-", "")</f>
        <v>-</v>
      </c>
      <c r="F43" s="427" t="str">
        <f>IF(OR(TBL_ADD_04_Qs_All[[#This Row],[Required?]]="No", TBL_ADD_04_Qs_All[[#This Row],[Section]]="IntSV", TBL_ADD_04_Qs_All[[#This Row],[Question / Sub-question]]="Not used"), "-", IF(TBL_ADD_04_Qs_All[[#This Row],[Type]]="Question", TBL_ADD_04_Qs_All[[#This Row],[No.subs]]*500, "-"))</f>
        <v>-</v>
      </c>
      <c r="G43"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3" s="426" t="str">
        <f t="array" ref="I4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3" s="424" t="s">
        <v>332</v>
      </c>
      <c r="K43" s="426" t="s">
        <v>153</v>
      </c>
      <c r="L43" s="428" t="s">
        <v>571</v>
      </c>
      <c r="M43" s="426" t="s">
        <v>2159</v>
      </c>
      <c r="N4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4" spans="1:19">
      <c r="A44" s="424" t="str">
        <f>IF(TBL_ADD_04_Qs_All[[#This Row],[Type]]="Question", K45, IF(TBL_ADD_04_Qs_All[[#This Row],[Sub_No]]="N/A", "-", CONCATENATE(TBL_ADD_04_Qs_All[[#This Row],[Q_No]], TBL_ADD_04_Qs_All[[#This Row],[Sub_No]])))</f>
        <v>Q6.4.6</v>
      </c>
      <c r="B44" s="424" t="s">
        <v>152</v>
      </c>
      <c r="C44"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4" s="426" t="str">
        <f>IF(OR(TBL_ADD_04_Qs_All[[#This Row],[Type]]="Overview", TBL_ADD_04_Qs_All[[#This Row],[Type]]="Sub-question", TBL_ADD_04_Qs_All[[#This Row],[Required?]]="No", TBL_ADD_04_Qs_All[[#This Row],[Section]]="IntSV", TBL_ADD_04_Qs_All[[#This Row],[Question / Sub-question]]="Not used"), "-", "")</f>
        <v>-</v>
      </c>
      <c r="E44" s="426" t="str">
        <f>IF(OR(TBL_ADD_04_Qs_All[[#This Row],[Type]]="Overview", TBL_ADD_04_Qs_All[[#This Row],[Type]]="Sub-question", TBL_ADD_04_Qs_All[[#This Row],[Required?]]="No", TBL_ADD_04_Qs_All[[#This Row],[Section]]="IntSV", TBL_ADD_04_Qs_All[[#This Row],[Question / Sub-question]]="Not used"), "-", "")</f>
        <v>-</v>
      </c>
      <c r="F44" s="427" t="str">
        <f>IF(OR(TBL_ADD_04_Qs_All[[#This Row],[Required?]]="No", TBL_ADD_04_Qs_All[[#This Row],[Section]]="IntSV", TBL_ADD_04_Qs_All[[#This Row],[Question / Sub-question]]="Not used"), "-", IF(TBL_ADD_04_Qs_All[[#This Row],[Type]]="Question", TBL_ADD_04_Qs_All[[#This Row],[No.subs]]*500, "-"))</f>
        <v>-</v>
      </c>
      <c r="G44"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4" s="426" t="str">
        <f t="array" ref="I4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4" s="424" t="s">
        <v>332</v>
      </c>
      <c r="K44" s="426" t="s">
        <v>153</v>
      </c>
      <c r="L44" s="428" t="s">
        <v>573</v>
      </c>
      <c r="M44" s="426" t="s">
        <v>2159</v>
      </c>
      <c r="N4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5" spans="1:19">
      <c r="A45" s="424" t="str">
        <f>IF(TBL_ADD_04_Qs_All[[#This Row],[Type]]="Question", K46, IF(TBL_ADD_04_Qs_All[[#This Row],[Sub_No]]="N/A", "-", CONCATENATE(TBL_ADD_04_Qs_All[[#This Row],[Q_No]], TBL_ADD_04_Qs_All[[#This Row],[Sub_No]])))</f>
        <v>Q6.4.7</v>
      </c>
      <c r="B45" s="424" t="s">
        <v>152</v>
      </c>
      <c r="C45"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5" s="426" t="str">
        <f>IF(OR(TBL_ADD_04_Qs_All[[#This Row],[Type]]="Overview", TBL_ADD_04_Qs_All[[#This Row],[Type]]="Sub-question", TBL_ADD_04_Qs_All[[#This Row],[Required?]]="No", TBL_ADD_04_Qs_All[[#This Row],[Section]]="IntSV", TBL_ADD_04_Qs_All[[#This Row],[Question / Sub-question]]="Not used"), "-", "")</f>
        <v>-</v>
      </c>
      <c r="E45" s="426" t="str">
        <f>IF(OR(TBL_ADD_04_Qs_All[[#This Row],[Type]]="Overview", TBL_ADD_04_Qs_All[[#This Row],[Type]]="Sub-question", TBL_ADD_04_Qs_All[[#This Row],[Required?]]="No", TBL_ADD_04_Qs_All[[#This Row],[Section]]="IntSV", TBL_ADD_04_Qs_All[[#This Row],[Question / Sub-question]]="Not used"), "-", "")</f>
        <v>-</v>
      </c>
      <c r="F45" s="427" t="str">
        <f>IF(OR(TBL_ADD_04_Qs_All[[#This Row],[Required?]]="No", TBL_ADD_04_Qs_All[[#This Row],[Section]]="IntSV", TBL_ADD_04_Qs_All[[#This Row],[Question / Sub-question]]="Not used"), "-", IF(TBL_ADD_04_Qs_All[[#This Row],[Type]]="Question", TBL_ADD_04_Qs_All[[#This Row],[No.subs]]*500, "-"))</f>
        <v>-</v>
      </c>
      <c r="G45"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5" s="426" t="str">
        <f t="array" ref="I4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5" s="424" t="s">
        <v>332</v>
      </c>
      <c r="K45" s="426" t="s">
        <v>153</v>
      </c>
      <c r="L45" s="428" t="s">
        <v>574</v>
      </c>
      <c r="M45" s="426" t="s">
        <v>2159</v>
      </c>
      <c r="N4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6" spans="1:19">
      <c r="A46" s="424" t="str">
        <f>IF(TBL_ADD_04_Qs_All[[#This Row],[Type]]="Question", K47, IF(TBL_ADD_04_Qs_All[[#This Row],[Sub_No]]="N/A", "-", CONCATENATE(TBL_ADD_04_Qs_All[[#This Row],[Q_No]], TBL_ADD_04_Qs_All[[#This Row],[Sub_No]])))</f>
        <v>Q6.4.8</v>
      </c>
      <c r="B46" s="424" t="s">
        <v>152</v>
      </c>
      <c r="C46"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6" s="426" t="str">
        <f>IF(OR(TBL_ADD_04_Qs_All[[#This Row],[Type]]="Overview", TBL_ADD_04_Qs_All[[#This Row],[Type]]="Sub-question", TBL_ADD_04_Qs_All[[#This Row],[Required?]]="No", TBL_ADD_04_Qs_All[[#This Row],[Section]]="IntSV", TBL_ADD_04_Qs_All[[#This Row],[Question / Sub-question]]="Not used"), "-", "")</f>
        <v>-</v>
      </c>
      <c r="E46" s="426" t="str">
        <f>IF(OR(TBL_ADD_04_Qs_All[[#This Row],[Type]]="Overview", TBL_ADD_04_Qs_All[[#This Row],[Type]]="Sub-question", TBL_ADD_04_Qs_All[[#This Row],[Required?]]="No", TBL_ADD_04_Qs_All[[#This Row],[Section]]="IntSV", TBL_ADD_04_Qs_All[[#This Row],[Question / Sub-question]]="Not used"), "-", "")</f>
        <v>-</v>
      </c>
      <c r="F46" s="427" t="str">
        <f>IF(OR(TBL_ADD_04_Qs_All[[#This Row],[Required?]]="No", TBL_ADD_04_Qs_All[[#This Row],[Section]]="IntSV", TBL_ADD_04_Qs_All[[#This Row],[Question / Sub-question]]="Not used"), "-", IF(TBL_ADD_04_Qs_All[[#This Row],[Type]]="Question", TBL_ADD_04_Qs_All[[#This Row],[No.subs]]*500, "-"))</f>
        <v>-</v>
      </c>
      <c r="G46"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6" s="426" t="str">
        <f t="array" ref="I4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6" s="424" t="s">
        <v>332</v>
      </c>
      <c r="K46" s="426" t="s">
        <v>153</v>
      </c>
      <c r="L46" s="428" t="s">
        <v>575</v>
      </c>
      <c r="M46" s="426" t="s">
        <v>2159</v>
      </c>
      <c r="N4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7" spans="1:19">
      <c r="A47" s="424" t="str">
        <f>IF(TBL_ADD_04_Qs_All[[#This Row],[Type]]="Question", K48, IF(TBL_ADD_04_Qs_All[[#This Row],[Sub_No]]="N/A", "-", CONCATENATE(TBL_ADD_04_Qs_All[[#This Row],[Q_No]], TBL_ADD_04_Qs_All[[#This Row],[Sub_No]])))</f>
        <v>Q6.4.9</v>
      </c>
      <c r="B47" s="424" t="s">
        <v>152</v>
      </c>
      <c r="C47"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7" s="426" t="str">
        <f>IF(OR(TBL_ADD_04_Qs_All[[#This Row],[Type]]="Overview", TBL_ADD_04_Qs_All[[#This Row],[Type]]="Sub-question", TBL_ADD_04_Qs_All[[#This Row],[Required?]]="No", TBL_ADD_04_Qs_All[[#This Row],[Section]]="IntSV", TBL_ADD_04_Qs_All[[#This Row],[Question / Sub-question]]="Not used"), "-", "")</f>
        <v>-</v>
      </c>
      <c r="E47" s="426" t="str">
        <f>IF(OR(TBL_ADD_04_Qs_All[[#This Row],[Type]]="Overview", TBL_ADD_04_Qs_All[[#This Row],[Type]]="Sub-question", TBL_ADD_04_Qs_All[[#This Row],[Required?]]="No", TBL_ADD_04_Qs_All[[#This Row],[Section]]="IntSV", TBL_ADD_04_Qs_All[[#This Row],[Question / Sub-question]]="Not used"), "-", "")</f>
        <v>-</v>
      </c>
      <c r="F47" s="427" t="str">
        <f>IF(OR(TBL_ADD_04_Qs_All[[#This Row],[Required?]]="No", TBL_ADD_04_Qs_All[[#This Row],[Section]]="IntSV", TBL_ADD_04_Qs_All[[#This Row],[Question / Sub-question]]="Not used"), "-", IF(TBL_ADD_04_Qs_All[[#This Row],[Type]]="Question", TBL_ADD_04_Qs_All[[#This Row],[No.subs]]*500, "-"))</f>
        <v>-</v>
      </c>
      <c r="G47"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7" s="426" t="str">
        <f t="array" ref="I4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7" s="424" t="s">
        <v>332</v>
      </c>
      <c r="K47" s="426" t="s">
        <v>153</v>
      </c>
      <c r="L47" s="428" t="s">
        <v>576</v>
      </c>
      <c r="M47" s="426" t="s">
        <v>2159</v>
      </c>
      <c r="N4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8" spans="1:19">
      <c r="A48" s="424" t="str">
        <f>IF(TBL_ADD_04_Qs_All[[#This Row],[Type]]="Question", K49, IF(TBL_ADD_04_Qs_All[[#This Row],[Sub_No]]="N/A", "-", CONCATENATE(TBL_ADD_04_Qs_All[[#This Row],[Q_No]], TBL_ADD_04_Qs_All[[#This Row],[Sub_No]])))</f>
        <v>Q6.4.10</v>
      </c>
      <c r="B48" s="424" t="s">
        <v>152</v>
      </c>
      <c r="C48"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48" s="426" t="str">
        <f>IF(OR(TBL_ADD_04_Qs_All[[#This Row],[Type]]="Overview", TBL_ADD_04_Qs_All[[#This Row],[Type]]="Sub-question", TBL_ADD_04_Qs_All[[#This Row],[Required?]]="No", TBL_ADD_04_Qs_All[[#This Row],[Section]]="IntSV", TBL_ADD_04_Qs_All[[#This Row],[Question / Sub-question]]="Not used"), "-", "")</f>
        <v>-</v>
      </c>
      <c r="E48" s="426" t="str">
        <f>IF(OR(TBL_ADD_04_Qs_All[[#This Row],[Type]]="Overview", TBL_ADD_04_Qs_All[[#This Row],[Type]]="Sub-question", TBL_ADD_04_Qs_All[[#This Row],[Required?]]="No", TBL_ADD_04_Qs_All[[#This Row],[Section]]="IntSV", TBL_ADD_04_Qs_All[[#This Row],[Question / Sub-question]]="Not used"), "-", "")</f>
        <v>-</v>
      </c>
      <c r="F48" s="427" t="str">
        <f>IF(OR(TBL_ADD_04_Qs_All[[#This Row],[Required?]]="No", TBL_ADD_04_Qs_All[[#This Row],[Section]]="IntSV", TBL_ADD_04_Qs_All[[#This Row],[Question / Sub-question]]="Not used"), "-", IF(TBL_ADD_04_Qs_All[[#This Row],[Type]]="Question", TBL_ADD_04_Qs_All[[#This Row],[No.subs]]*500, "-"))</f>
        <v>-</v>
      </c>
      <c r="G48"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4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48" s="426" t="str">
        <f t="array" ref="I4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48" s="424" t="s">
        <v>332</v>
      </c>
      <c r="K48" s="426" t="s">
        <v>153</v>
      </c>
      <c r="L48" s="428" t="s">
        <v>577</v>
      </c>
      <c r="M48" s="426" t="s">
        <v>2159</v>
      </c>
      <c r="N4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49" spans="1:15" ht="13">
      <c r="A49" s="424" t="str">
        <f>IF(TBL_ADD_04_Qs_All[[#This Row],[Type]]="Question", K50, IF(TBL_ADD_04_Qs_All[[#This Row],[Sub_No]]="N/A", "-", CONCATENATE(TBL_ADD_04_Qs_All[[#This Row],[Q_No]], TBL_ADD_04_Qs_All[[#This Row],[Sub_No]])))</f>
        <v>Q6.5</v>
      </c>
      <c r="B49" s="424" t="s">
        <v>152</v>
      </c>
      <c r="C49"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49" s="426" t="str">
        <f>IF(OR(TBL_ADD_04_Qs_All[[#This Row],[Type]]="Overview", TBL_ADD_04_Qs_All[[#This Row],[Type]]="Sub-question", TBL_ADD_04_Qs_All[[#This Row],[Required?]]="No", TBL_ADD_04_Qs_All[[#This Row],[Section]]="IntSV", TBL_ADD_04_Qs_All[[#This Row],[Question / Sub-question]]="Not used"), "-", "")</f>
        <v>-</v>
      </c>
      <c r="E49" s="426" t="str">
        <f>IF(OR(TBL_ADD_04_Qs_All[[#This Row],[Type]]="Overview", TBL_ADD_04_Qs_All[[#This Row],[Type]]="Sub-question", TBL_ADD_04_Qs_All[[#This Row],[Required?]]="No", TBL_ADD_04_Qs_All[[#This Row],[Section]]="IntSV", TBL_ADD_04_Qs_All[[#This Row],[Question / Sub-question]]="Not used"), "-", "")</f>
        <v>-</v>
      </c>
      <c r="F49" s="427" t="str">
        <f>IF(OR(TBL_ADD_04_Qs_All[[#This Row],[Required?]]="No", TBL_ADD_04_Qs_All[[#This Row],[Section]]="IntSV", TBL_ADD_04_Qs_All[[#This Row],[Question / Sub-question]]="Not used"), "-", IF(TBL_ADD_04_Qs_All[[#This Row],[Type]]="Question", TBL_ADD_04_Qs_All[[#This Row],[No.subs]]*500, "-"))</f>
        <v>-</v>
      </c>
      <c r="G49"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49"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49" s="426">
        <f t="array" ref="I4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49" s="424" t="s">
        <v>146</v>
      </c>
      <c r="K49" s="426" t="s">
        <v>24</v>
      </c>
      <c r="L49" s="426" t="s">
        <v>24</v>
      </c>
      <c r="M49" s="426" t="s">
        <v>2159</v>
      </c>
      <c r="N4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4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0" spans="1:15">
      <c r="A50" s="424" t="str">
        <f>IF(TBL_ADD_04_Qs_All[[#This Row],[Type]]="Question", K51, IF(TBL_ADD_04_Qs_All[[#This Row],[Sub_No]]="N/A", "-", CONCATENATE(TBL_ADD_04_Qs_All[[#This Row],[Q_No]], TBL_ADD_04_Qs_All[[#This Row],[Sub_No]])))</f>
        <v>Q6.5.1</v>
      </c>
      <c r="B50" s="424" t="s">
        <v>152</v>
      </c>
      <c r="C50"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0" s="426" t="str">
        <f>IF(OR(TBL_ADD_04_Qs_All[[#This Row],[Type]]="Overview", TBL_ADD_04_Qs_All[[#This Row],[Type]]="Sub-question", TBL_ADD_04_Qs_All[[#This Row],[Required?]]="No", TBL_ADD_04_Qs_All[[#This Row],[Section]]="IntSV", TBL_ADD_04_Qs_All[[#This Row],[Question / Sub-question]]="Not used"), "-", "")</f>
        <v>-</v>
      </c>
      <c r="E50" s="426" t="str">
        <f>IF(OR(TBL_ADD_04_Qs_All[[#This Row],[Type]]="Overview", TBL_ADD_04_Qs_All[[#This Row],[Type]]="Sub-question", TBL_ADD_04_Qs_All[[#This Row],[Required?]]="No", TBL_ADD_04_Qs_All[[#This Row],[Section]]="IntSV", TBL_ADD_04_Qs_All[[#This Row],[Question / Sub-question]]="Not used"), "-", "")</f>
        <v>-</v>
      </c>
      <c r="F50" s="427" t="str">
        <f>IF(OR(TBL_ADD_04_Qs_All[[#This Row],[Required?]]="No", TBL_ADD_04_Qs_All[[#This Row],[Section]]="IntSV", TBL_ADD_04_Qs_All[[#This Row],[Question / Sub-question]]="Not used"), "-", IF(TBL_ADD_04_Qs_All[[#This Row],[Type]]="Question", TBL_ADD_04_Qs_All[[#This Row],[No.subs]]*500, "-"))</f>
        <v>-</v>
      </c>
      <c r="G50"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0" s="426" t="str">
        <f t="array" ref="I5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0" s="424" t="s">
        <v>332</v>
      </c>
      <c r="K50" s="426" t="s">
        <v>164</v>
      </c>
      <c r="L50" s="428" t="s">
        <v>568</v>
      </c>
      <c r="M50" s="426" t="s">
        <v>2159</v>
      </c>
      <c r="N5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1" spans="1:15">
      <c r="A51" s="424" t="str">
        <f>IF(TBL_ADD_04_Qs_All[[#This Row],[Type]]="Question", K52, IF(TBL_ADD_04_Qs_All[[#This Row],[Sub_No]]="N/A", "-", CONCATENATE(TBL_ADD_04_Qs_All[[#This Row],[Q_No]], TBL_ADD_04_Qs_All[[#This Row],[Sub_No]])))</f>
        <v>Q6.5.2</v>
      </c>
      <c r="B51" s="424" t="s">
        <v>152</v>
      </c>
      <c r="C51"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1" s="426" t="str">
        <f>IF(OR(TBL_ADD_04_Qs_All[[#This Row],[Type]]="Overview", TBL_ADD_04_Qs_All[[#This Row],[Type]]="Sub-question", TBL_ADD_04_Qs_All[[#This Row],[Required?]]="No", TBL_ADD_04_Qs_All[[#This Row],[Section]]="IntSV", TBL_ADD_04_Qs_All[[#This Row],[Question / Sub-question]]="Not used"), "-", "")</f>
        <v>-</v>
      </c>
      <c r="E51" s="426" t="str">
        <f>IF(OR(TBL_ADD_04_Qs_All[[#This Row],[Type]]="Overview", TBL_ADD_04_Qs_All[[#This Row],[Type]]="Sub-question", TBL_ADD_04_Qs_All[[#This Row],[Required?]]="No", TBL_ADD_04_Qs_All[[#This Row],[Section]]="IntSV", TBL_ADD_04_Qs_All[[#This Row],[Question / Sub-question]]="Not used"), "-", "")</f>
        <v>-</v>
      </c>
      <c r="F51" s="427" t="str">
        <f>IF(OR(TBL_ADD_04_Qs_All[[#This Row],[Required?]]="No", TBL_ADD_04_Qs_All[[#This Row],[Section]]="IntSV", TBL_ADD_04_Qs_All[[#This Row],[Question / Sub-question]]="Not used"), "-", IF(TBL_ADD_04_Qs_All[[#This Row],[Type]]="Question", TBL_ADD_04_Qs_All[[#This Row],[No.subs]]*500, "-"))</f>
        <v>-</v>
      </c>
      <c r="G51"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1" s="426" t="str">
        <f t="array" ref="I5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1" s="424" t="s">
        <v>332</v>
      </c>
      <c r="K51" s="426" t="s">
        <v>164</v>
      </c>
      <c r="L51" s="428" t="s">
        <v>572</v>
      </c>
      <c r="M51" s="426" t="s">
        <v>2159</v>
      </c>
      <c r="N5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2" spans="1:15">
      <c r="A52" s="424" t="str">
        <f>IF(TBL_ADD_04_Qs_All[[#This Row],[Type]]="Question", K53, IF(TBL_ADD_04_Qs_All[[#This Row],[Sub_No]]="N/A", "-", CONCATENATE(TBL_ADD_04_Qs_All[[#This Row],[Q_No]], TBL_ADD_04_Qs_All[[#This Row],[Sub_No]])))</f>
        <v>Q6.5.3</v>
      </c>
      <c r="B52" s="424" t="s">
        <v>152</v>
      </c>
      <c r="C52"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2" s="426" t="str">
        <f>IF(OR(TBL_ADD_04_Qs_All[[#This Row],[Type]]="Overview", TBL_ADD_04_Qs_All[[#This Row],[Type]]="Sub-question", TBL_ADD_04_Qs_All[[#This Row],[Required?]]="No", TBL_ADD_04_Qs_All[[#This Row],[Section]]="IntSV", TBL_ADD_04_Qs_All[[#This Row],[Question / Sub-question]]="Not used"), "-", "")</f>
        <v>-</v>
      </c>
      <c r="E52" s="426" t="str">
        <f>IF(OR(TBL_ADD_04_Qs_All[[#This Row],[Type]]="Overview", TBL_ADD_04_Qs_All[[#This Row],[Type]]="Sub-question", TBL_ADD_04_Qs_All[[#This Row],[Required?]]="No", TBL_ADD_04_Qs_All[[#This Row],[Section]]="IntSV", TBL_ADD_04_Qs_All[[#This Row],[Question / Sub-question]]="Not used"), "-", "")</f>
        <v>-</v>
      </c>
      <c r="F52" s="427" t="str">
        <f>IF(OR(TBL_ADD_04_Qs_All[[#This Row],[Required?]]="No", TBL_ADD_04_Qs_All[[#This Row],[Section]]="IntSV", TBL_ADD_04_Qs_All[[#This Row],[Question / Sub-question]]="Not used"), "-", IF(TBL_ADD_04_Qs_All[[#This Row],[Type]]="Question", TBL_ADD_04_Qs_All[[#This Row],[No.subs]]*500, "-"))</f>
        <v>-</v>
      </c>
      <c r="G52"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2" s="426" t="str">
        <f t="array" ref="I5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2" s="424" t="s">
        <v>332</v>
      </c>
      <c r="K52" s="426" t="s">
        <v>164</v>
      </c>
      <c r="L52" s="428" t="s">
        <v>569</v>
      </c>
      <c r="M52" s="426" t="s">
        <v>2159</v>
      </c>
      <c r="N5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3" spans="1:15">
      <c r="A53" s="424" t="str">
        <f>IF(TBL_ADD_04_Qs_All[[#This Row],[Type]]="Question", K54, IF(TBL_ADD_04_Qs_All[[#This Row],[Sub_No]]="N/A", "-", CONCATENATE(TBL_ADD_04_Qs_All[[#This Row],[Q_No]], TBL_ADD_04_Qs_All[[#This Row],[Sub_No]])))</f>
        <v>Q6.5.4</v>
      </c>
      <c r="B53" s="424" t="s">
        <v>152</v>
      </c>
      <c r="C53"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3" s="426" t="str">
        <f>IF(OR(TBL_ADD_04_Qs_All[[#This Row],[Type]]="Overview", TBL_ADD_04_Qs_All[[#This Row],[Type]]="Sub-question", TBL_ADD_04_Qs_All[[#This Row],[Required?]]="No", TBL_ADD_04_Qs_All[[#This Row],[Section]]="IntSV", TBL_ADD_04_Qs_All[[#This Row],[Question / Sub-question]]="Not used"), "-", "")</f>
        <v>-</v>
      </c>
      <c r="E53" s="426" t="str">
        <f>IF(OR(TBL_ADD_04_Qs_All[[#This Row],[Type]]="Overview", TBL_ADD_04_Qs_All[[#This Row],[Type]]="Sub-question", TBL_ADD_04_Qs_All[[#This Row],[Required?]]="No", TBL_ADD_04_Qs_All[[#This Row],[Section]]="IntSV", TBL_ADD_04_Qs_All[[#This Row],[Question / Sub-question]]="Not used"), "-", "")</f>
        <v>-</v>
      </c>
      <c r="F53" s="427" t="str">
        <f>IF(OR(TBL_ADD_04_Qs_All[[#This Row],[Required?]]="No", TBL_ADD_04_Qs_All[[#This Row],[Section]]="IntSV", TBL_ADD_04_Qs_All[[#This Row],[Question / Sub-question]]="Not used"), "-", IF(TBL_ADD_04_Qs_All[[#This Row],[Type]]="Question", TBL_ADD_04_Qs_All[[#This Row],[No.subs]]*500, "-"))</f>
        <v>-</v>
      </c>
      <c r="G53"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3" s="426" t="str">
        <f t="array" ref="I5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3" s="424" t="s">
        <v>332</v>
      </c>
      <c r="K53" s="426" t="s">
        <v>164</v>
      </c>
      <c r="L53" s="428" t="s">
        <v>570</v>
      </c>
      <c r="M53" s="426" t="s">
        <v>2159</v>
      </c>
      <c r="N5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4" spans="1:15">
      <c r="A54" s="424" t="str">
        <f>IF(TBL_ADD_04_Qs_All[[#This Row],[Type]]="Question", K55, IF(TBL_ADD_04_Qs_All[[#This Row],[Sub_No]]="N/A", "-", CONCATENATE(TBL_ADD_04_Qs_All[[#This Row],[Q_No]], TBL_ADD_04_Qs_All[[#This Row],[Sub_No]])))</f>
        <v>Q6.5.5</v>
      </c>
      <c r="B54" s="424" t="s">
        <v>152</v>
      </c>
      <c r="C54"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4" s="426" t="str">
        <f>IF(OR(TBL_ADD_04_Qs_All[[#This Row],[Type]]="Overview", TBL_ADD_04_Qs_All[[#This Row],[Type]]="Sub-question", TBL_ADD_04_Qs_All[[#This Row],[Required?]]="No", TBL_ADD_04_Qs_All[[#This Row],[Section]]="IntSV", TBL_ADD_04_Qs_All[[#This Row],[Question / Sub-question]]="Not used"), "-", "")</f>
        <v>-</v>
      </c>
      <c r="E54" s="426" t="str">
        <f>IF(OR(TBL_ADD_04_Qs_All[[#This Row],[Type]]="Overview", TBL_ADD_04_Qs_All[[#This Row],[Type]]="Sub-question", TBL_ADD_04_Qs_All[[#This Row],[Required?]]="No", TBL_ADD_04_Qs_All[[#This Row],[Section]]="IntSV", TBL_ADD_04_Qs_All[[#This Row],[Question / Sub-question]]="Not used"), "-", "")</f>
        <v>-</v>
      </c>
      <c r="F54" s="427" t="str">
        <f>IF(OR(TBL_ADD_04_Qs_All[[#This Row],[Required?]]="No", TBL_ADD_04_Qs_All[[#This Row],[Section]]="IntSV", TBL_ADD_04_Qs_All[[#This Row],[Question / Sub-question]]="Not used"), "-", IF(TBL_ADD_04_Qs_All[[#This Row],[Type]]="Question", TBL_ADD_04_Qs_All[[#This Row],[No.subs]]*500, "-"))</f>
        <v>-</v>
      </c>
      <c r="G54"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4" s="426" t="str">
        <f t="array" ref="I5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4" s="424" t="s">
        <v>332</v>
      </c>
      <c r="K54" s="426" t="s">
        <v>164</v>
      </c>
      <c r="L54" s="428" t="s">
        <v>571</v>
      </c>
      <c r="M54" s="426" t="s">
        <v>2159</v>
      </c>
      <c r="N5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5" spans="1:15">
      <c r="A55" s="424" t="str">
        <f>IF(TBL_ADD_04_Qs_All[[#This Row],[Type]]="Question", K56, IF(TBL_ADD_04_Qs_All[[#This Row],[Sub_No]]="N/A", "-", CONCATENATE(TBL_ADD_04_Qs_All[[#This Row],[Q_No]], TBL_ADD_04_Qs_All[[#This Row],[Sub_No]])))</f>
        <v>Q6.5.6</v>
      </c>
      <c r="B55" s="424" t="s">
        <v>152</v>
      </c>
      <c r="C55"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5" s="426" t="str">
        <f>IF(OR(TBL_ADD_04_Qs_All[[#This Row],[Type]]="Overview", TBL_ADD_04_Qs_All[[#This Row],[Type]]="Sub-question", TBL_ADD_04_Qs_All[[#This Row],[Required?]]="No", TBL_ADD_04_Qs_All[[#This Row],[Section]]="IntSV", TBL_ADD_04_Qs_All[[#This Row],[Question / Sub-question]]="Not used"), "-", "")</f>
        <v>-</v>
      </c>
      <c r="E55" s="426" t="str">
        <f>IF(OR(TBL_ADD_04_Qs_All[[#This Row],[Type]]="Overview", TBL_ADD_04_Qs_All[[#This Row],[Type]]="Sub-question", TBL_ADD_04_Qs_All[[#This Row],[Required?]]="No", TBL_ADD_04_Qs_All[[#This Row],[Section]]="IntSV", TBL_ADD_04_Qs_All[[#This Row],[Question / Sub-question]]="Not used"), "-", "")</f>
        <v>-</v>
      </c>
      <c r="F55" s="427" t="str">
        <f>IF(OR(TBL_ADD_04_Qs_All[[#This Row],[Required?]]="No", TBL_ADD_04_Qs_All[[#This Row],[Section]]="IntSV", TBL_ADD_04_Qs_All[[#This Row],[Question / Sub-question]]="Not used"), "-", IF(TBL_ADD_04_Qs_All[[#This Row],[Type]]="Question", TBL_ADD_04_Qs_All[[#This Row],[No.subs]]*500, "-"))</f>
        <v>-</v>
      </c>
      <c r="G55"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5" s="426" t="str">
        <f t="array" ref="I5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5" s="424" t="s">
        <v>332</v>
      </c>
      <c r="K55" s="426" t="s">
        <v>164</v>
      </c>
      <c r="L55" s="428" t="s">
        <v>573</v>
      </c>
      <c r="M55" s="426" t="s">
        <v>2159</v>
      </c>
      <c r="N5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6" spans="1:15">
      <c r="A56" s="424" t="str">
        <f>IF(TBL_ADD_04_Qs_All[[#This Row],[Type]]="Question", K57, IF(TBL_ADD_04_Qs_All[[#This Row],[Sub_No]]="N/A", "-", CONCATENATE(TBL_ADD_04_Qs_All[[#This Row],[Q_No]], TBL_ADD_04_Qs_All[[#This Row],[Sub_No]])))</f>
        <v>Q6.5.7</v>
      </c>
      <c r="B56" s="424" t="s">
        <v>152</v>
      </c>
      <c r="C56"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6" s="426" t="str">
        <f>IF(OR(TBL_ADD_04_Qs_All[[#This Row],[Type]]="Overview", TBL_ADD_04_Qs_All[[#This Row],[Type]]="Sub-question", TBL_ADD_04_Qs_All[[#This Row],[Required?]]="No", TBL_ADD_04_Qs_All[[#This Row],[Section]]="IntSV", TBL_ADD_04_Qs_All[[#This Row],[Question / Sub-question]]="Not used"), "-", "")</f>
        <v>-</v>
      </c>
      <c r="E56" s="426" t="str">
        <f>IF(OR(TBL_ADD_04_Qs_All[[#This Row],[Type]]="Overview", TBL_ADD_04_Qs_All[[#This Row],[Type]]="Sub-question", TBL_ADD_04_Qs_All[[#This Row],[Required?]]="No", TBL_ADD_04_Qs_All[[#This Row],[Section]]="IntSV", TBL_ADD_04_Qs_All[[#This Row],[Question / Sub-question]]="Not used"), "-", "")</f>
        <v>-</v>
      </c>
      <c r="F56" s="427" t="str">
        <f>IF(OR(TBL_ADD_04_Qs_All[[#This Row],[Required?]]="No", TBL_ADD_04_Qs_All[[#This Row],[Section]]="IntSV", TBL_ADD_04_Qs_All[[#This Row],[Question / Sub-question]]="Not used"), "-", IF(TBL_ADD_04_Qs_All[[#This Row],[Type]]="Question", TBL_ADD_04_Qs_All[[#This Row],[No.subs]]*500, "-"))</f>
        <v>-</v>
      </c>
      <c r="G56"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6" s="426" t="str">
        <f t="array" ref="I5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6" s="424" t="s">
        <v>332</v>
      </c>
      <c r="K56" s="426" t="s">
        <v>164</v>
      </c>
      <c r="L56" s="428" t="s">
        <v>574</v>
      </c>
      <c r="M56" s="426" t="s">
        <v>2159</v>
      </c>
      <c r="N5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7" spans="1:15">
      <c r="A57" s="424" t="str">
        <f>IF(TBL_ADD_04_Qs_All[[#This Row],[Type]]="Question", K58, IF(TBL_ADD_04_Qs_All[[#This Row],[Sub_No]]="N/A", "-", CONCATENATE(TBL_ADD_04_Qs_All[[#This Row],[Q_No]], TBL_ADD_04_Qs_All[[#This Row],[Sub_No]])))</f>
        <v>Q6.5.8</v>
      </c>
      <c r="B57" s="424" t="s">
        <v>152</v>
      </c>
      <c r="C57"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7" s="426" t="str">
        <f>IF(OR(TBL_ADD_04_Qs_All[[#This Row],[Type]]="Overview", TBL_ADD_04_Qs_All[[#This Row],[Type]]="Sub-question", TBL_ADD_04_Qs_All[[#This Row],[Required?]]="No", TBL_ADD_04_Qs_All[[#This Row],[Section]]="IntSV", TBL_ADD_04_Qs_All[[#This Row],[Question / Sub-question]]="Not used"), "-", "")</f>
        <v>-</v>
      </c>
      <c r="E57" s="426" t="str">
        <f>IF(OR(TBL_ADD_04_Qs_All[[#This Row],[Type]]="Overview", TBL_ADD_04_Qs_All[[#This Row],[Type]]="Sub-question", TBL_ADD_04_Qs_All[[#This Row],[Required?]]="No", TBL_ADD_04_Qs_All[[#This Row],[Section]]="IntSV", TBL_ADD_04_Qs_All[[#This Row],[Question / Sub-question]]="Not used"), "-", "")</f>
        <v>-</v>
      </c>
      <c r="F57" s="427" t="str">
        <f>IF(OR(TBL_ADD_04_Qs_All[[#This Row],[Required?]]="No", TBL_ADD_04_Qs_All[[#This Row],[Section]]="IntSV", TBL_ADD_04_Qs_All[[#This Row],[Question / Sub-question]]="Not used"), "-", IF(TBL_ADD_04_Qs_All[[#This Row],[Type]]="Question", TBL_ADD_04_Qs_All[[#This Row],[No.subs]]*500, "-"))</f>
        <v>-</v>
      </c>
      <c r="G57"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7" s="426" t="str">
        <f t="array" ref="I5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7" s="424" t="s">
        <v>332</v>
      </c>
      <c r="K57" s="426" t="s">
        <v>164</v>
      </c>
      <c r="L57" s="428" t="s">
        <v>575</v>
      </c>
      <c r="M57" s="426" t="s">
        <v>2159</v>
      </c>
      <c r="N5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8" spans="1:15">
      <c r="A58" s="424" t="str">
        <f>IF(TBL_ADD_04_Qs_All[[#This Row],[Type]]="Question", K59, IF(TBL_ADD_04_Qs_All[[#This Row],[Sub_No]]="N/A", "-", CONCATENATE(TBL_ADD_04_Qs_All[[#This Row],[Q_No]], TBL_ADD_04_Qs_All[[#This Row],[Sub_No]])))</f>
        <v>Q6.5.9</v>
      </c>
      <c r="B58" s="424" t="s">
        <v>152</v>
      </c>
      <c r="C58"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8" s="426" t="str">
        <f>IF(OR(TBL_ADD_04_Qs_All[[#This Row],[Type]]="Overview", TBL_ADD_04_Qs_All[[#This Row],[Type]]="Sub-question", TBL_ADD_04_Qs_All[[#This Row],[Required?]]="No", TBL_ADD_04_Qs_All[[#This Row],[Section]]="IntSV", TBL_ADD_04_Qs_All[[#This Row],[Question / Sub-question]]="Not used"), "-", "")</f>
        <v>-</v>
      </c>
      <c r="E58" s="426" t="str">
        <f>IF(OR(TBL_ADD_04_Qs_All[[#This Row],[Type]]="Overview", TBL_ADD_04_Qs_All[[#This Row],[Type]]="Sub-question", TBL_ADD_04_Qs_All[[#This Row],[Required?]]="No", TBL_ADD_04_Qs_All[[#This Row],[Section]]="IntSV", TBL_ADD_04_Qs_All[[#This Row],[Question / Sub-question]]="Not used"), "-", "")</f>
        <v>-</v>
      </c>
      <c r="F58" s="427" t="str">
        <f>IF(OR(TBL_ADD_04_Qs_All[[#This Row],[Required?]]="No", TBL_ADD_04_Qs_All[[#This Row],[Section]]="IntSV", TBL_ADD_04_Qs_All[[#This Row],[Question / Sub-question]]="Not used"), "-", IF(TBL_ADD_04_Qs_All[[#This Row],[Type]]="Question", TBL_ADD_04_Qs_All[[#This Row],[No.subs]]*500, "-"))</f>
        <v>-</v>
      </c>
      <c r="G58"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8" s="426" t="str">
        <f t="array" ref="I5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8" s="424" t="s">
        <v>332</v>
      </c>
      <c r="K58" s="426" t="s">
        <v>164</v>
      </c>
      <c r="L58" s="428" t="s">
        <v>576</v>
      </c>
      <c r="M58" s="426" t="s">
        <v>2159</v>
      </c>
      <c r="N5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59" spans="1:15">
      <c r="A59" s="424" t="str">
        <f>IF(TBL_ADD_04_Qs_All[[#This Row],[Type]]="Question", K60, IF(TBL_ADD_04_Qs_All[[#This Row],[Sub_No]]="N/A", "-", CONCATENATE(TBL_ADD_04_Qs_All[[#This Row],[Q_No]], TBL_ADD_04_Qs_All[[#This Row],[Sub_No]])))</f>
        <v>Q6.5.10</v>
      </c>
      <c r="B59" s="424" t="s">
        <v>152</v>
      </c>
      <c r="C59"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59" s="426" t="str">
        <f>IF(OR(TBL_ADD_04_Qs_All[[#This Row],[Type]]="Overview", TBL_ADD_04_Qs_All[[#This Row],[Type]]="Sub-question", TBL_ADD_04_Qs_All[[#This Row],[Required?]]="No", TBL_ADD_04_Qs_All[[#This Row],[Section]]="IntSV", TBL_ADD_04_Qs_All[[#This Row],[Question / Sub-question]]="Not used"), "-", "")</f>
        <v>-</v>
      </c>
      <c r="E59" s="426" t="str">
        <f>IF(OR(TBL_ADD_04_Qs_All[[#This Row],[Type]]="Overview", TBL_ADD_04_Qs_All[[#This Row],[Type]]="Sub-question", TBL_ADD_04_Qs_All[[#This Row],[Required?]]="No", TBL_ADD_04_Qs_All[[#This Row],[Section]]="IntSV", TBL_ADD_04_Qs_All[[#This Row],[Question / Sub-question]]="Not used"), "-", "")</f>
        <v>-</v>
      </c>
      <c r="F59" s="427" t="str">
        <f>IF(OR(TBL_ADD_04_Qs_All[[#This Row],[Required?]]="No", TBL_ADD_04_Qs_All[[#This Row],[Section]]="IntSV", TBL_ADD_04_Qs_All[[#This Row],[Question / Sub-question]]="Not used"), "-", IF(TBL_ADD_04_Qs_All[[#This Row],[Type]]="Question", TBL_ADD_04_Qs_All[[#This Row],[No.subs]]*500, "-"))</f>
        <v>-</v>
      </c>
      <c r="G59"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5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59" s="426" t="str">
        <f t="array" ref="I5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59" s="424" t="s">
        <v>332</v>
      </c>
      <c r="K59" s="426" t="s">
        <v>164</v>
      </c>
      <c r="L59" s="428" t="s">
        <v>577</v>
      </c>
      <c r="M59" s="426" t="s">
        <v>2159</v>
      </c>
      <c r="N5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5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0" spans="1:15" ht="13">
      <c r="A60" s="424" t="str">
        <f>IF(TBL_ADD_04_Qs_All[[#This Row],[Type]]="Question", K61, IF(TBL_ADD_04_Qs_All[[#This Row],[Sub_No]]="N/A", "-", CONCATENATE(TBL_ADD_04_Qs_All[[#This Row],[Q_No]], TBL_ADD_04_Qs_All[[#This Row],[Sub_No]])))</f>
        <v>Q6.6</v>
      </c>
      <c r="B60" s="424" t="s">
        <v>152</v>
      </c>
      <c r="C60"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60" s="426" t="str">
        <f>IF(OR(TBL_ADD_04_Qs_All[[#This Row],[Type]]="Overview", TBL_ADD_04_Qs_All[[#This Row],[Type]]="Sub-question", TBL_ADD_04_Qs_All[[#This Row],[Required?]]="No", TBL_ADD_04_Qs_All[[#This Row],[Section]]="IntSV", TBL_ADD_04_Qs_All[[#This Row],[Question / Sub-question]]="Not used"), "-", "")</f>
        <v>-</v>
      </c>
      <c r="E60" s="426" t="str">
        <f>IF(OR(TBL_ADD_04_Qs_All[[#This Row],[Type]]="Overview", TBL_ADD_04_Qs_All[[#This Row],[Type]]="Sub-question", TBL_ADD_04_Qs_All[[#This Row],[Required?]]="No", TBL_ADD_04_Qs_All[[#This Row],[Section]]="IntSV", TBL_ADD_04_Qs_All[[#This Row],[Question / Sub-question]]="Not used"), "-", "")</f>
        <v>-</v>
      </c>
      <c r="F60" s="427" t="str">
        <f>IF(OR(TBL_ADD_04_Qs_All[[#This Row],[Required?]]="No", TBL_ADD_04_Qs_All[[#This Row],[Section]]="IntSV", TBL_ADD_04_Qs_All[[#This Row],[Question / Sub-question]]="Not used"), "-", IF(TBL_ADD_04_Qs_All[[#This Row],[Type]]="Question", TBL_ADD_04_Qs_All[[#This Row],[No.subs]]*500, "-"))</f>
        <v>-</v>
      </c>
      <c r="G60"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60"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60" s="426">
        <f t="array" ref="I6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60" s="424" t="s">
        <v>146</v>
      </c>
      <c r="K60" s="426" t="s">
        <v>24</v>
      </c>
      <c r="L60" s="426" t="s">
        <v>24</v>
      </c>
      <c r="M60" s="426" t="s">
        <v>2159</v>
      </c>
      <c r="N6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1" spans="1:15">
      <c r="A61" s="424" t="str">
        <f>IF(TBL_ADD_04_Qs_All[[#This Row],[Type]]="Question", K62, IF(TBL_ADD_04_Qs_All[[#This Row],[Sub_No]]="N/A", "-", CONCATENATE(TBL_ADD_04_Qs_All[[#This Row],[Q_No]], TBL_ADD_04_Qs_All[[#This Row],[Sub_No]])))</f>
        <v>Q6.6.1</v>
      </c>
      <c r="B61" s="424" t="s">
        <v>152</v>
      </c>
      <c r="C61"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1" s="426" t="str">
        <f>IF(OR(TBL_ADD_04_Qs_All[[#This Row],[Type]]="Overview", TBL_ADD_04_Qs_All[[#This Row],[Type]]="Sub-question", TBL_ADD_04_Qs_All[[#This Row],[Required?]]="No", TBL_ADD_04_Qs_All[[#This Row],[Section]]="IntSV", TBL_ADD_04_Qs_All[[#This Row],[Question / Sub-question]]="Not used"), "-", "")</f>
        <v>-</v>
      </c>
      <c r="E61" s="426" t="str">
        <f>IF(OR(TBL_ADD_04_Qs_All[[#This Row],[Type]]="Overview", TBL_ADD_04_Qs_All[[#This Row],[Type]]="Sub-question", TBL_ADD_04_Qs_All[[#This Row],[Required?]]="No", TBL_ADD_04_Qs_All[[#This Row],[Section]]="IntSV", TBL_ADD_04_Qs_All[[#This Row],[Question / Sub-question]]="Not used"), "-", "")</f>
        <v>-</v>
      </c>
      <c r="F61" s="427" t="str">
        <f>IF(OR(TBL_ADD_04_Qs_All[[#This Row],[Required?]]="No", TBL_ADD_04_Qs_All[[#This Row],[Section]]="IntSV", TBL_ADD_04_Qs_All[[#This Row],[Question / Sub-question]]="Not used"), "-", IF(TBL_ADD_04_Qs_All[[#This Row],[Type]]="Question", TBL_ADD_04_Qs_All[[#This Row],[No.subs]]*500, "-"))</f>
        <v>-</v>
      </c>
      <c r="G61"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1" s="426" t="str">
        <f t="array" ref="I6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1" s="424" t="s">
        <v>332</v>
      </c>
      <c r="K61" s="426" t="s">
        <v>175</v>
      </c>
      <c r="L61" s="428" t="s">
        <v>568</v>
      </c>
      <c r="M61" s="426" t="s">
        <v>2159</v>
      </c>
      <c r="N6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2" spans="1:15">
      <c r="A62" s="424" t="str">
        <f>IF(TBL_ADD_04_Qs_All[[#This Row],[Type]]="Question", K63, IF(TBL_ADD_04_Qs_All[[#This Row],[Sub_No]]="N/A", "-", CONCATENATE(TBL_ADD_04_Qs_All[[#This Row],[Q_No]], TBL_ADD_04_Qs_All[[#This Row],[Sub_No]])))</f>
        <v>Q6.6.2</v>
      </c>
      <c r="B62" s="424" t="s">
        <v>152</v>
      </c>
      <c r="C62"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2" s="426" t="str">
        <f>IF(OR(TBL_ADD_04_Qs_All[[#This Row],[Type]]="Overview", TBL_ADD_04_Qs_All[[#This Row],[Type]]="Sub-question", TBL_ADD_04_Qs_All[[#This Row],[Required?]]="No", TBL_ADD_04_Qs_All[[#This Row],[Section]]="IntSV", TBL_ADD_04_Qs_All[[#This Row],[Question / Sub-question]]="Not used"), "-", "")</f>
        <v>-</v>
      </c>
      <c r="E62" s="426" t="str">
        <f>IF(OR(TBL_ADD_04_Qs_All[[#This Row],[Type]]="Overview", TBL_ADD_04_Qs_All[[#This Row],[Type]]="Sub-question", TBL_ADD_04_Qs_All[[#This Row],[Required?]]="No", TBL_ADD_04_Qs_All[[#This Row],[Section]]="IntSV", TBL_ADD_04_Qs_All[[#This Row],[Question / Sub-question]]="Not used"), "-", "")</f>
        <v>-</v>
      </c>
      <c r="F62" s="427" t="str">
        <f>IF(OR(TBL_ADD_04_Qs_All[[#This Row],[Required?]]="No", TBL_ADD_04_Qs_All[[#This Row],[Section]]="IntSV", TBL_ADD_04_Qs_All[[#This Row],[Question / Sub-question]]="Not used"), "-", IF(TBL_ADD_04_Qs_All[[#This Row],[Type]]="Question", TBL_ADD_04_Qs_All[[#This Row],[No.subs]]*500, "-"))</f>
        <v>-</v>
      </c>
      <c r="G62"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2" s="426" t="str">
        <f t="array" ref="I6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2" s="424" t="s">
        <v>332</v>
      </c>
      <c r="K62" s="426" t="s">
        <v>175</v>
      </c>
      <c r="L62" s="428" t="s">
        <v>572</v>
      </c>
      <c r="M62" s="426" t="s">
        <v>2159</v>
      </c>
      <c r="N6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3" spans="1:15">
      <c r="A63" s="424" t="str">
        <f>IF(TBL_ADD_04_Qs_All[[#This Row],[Type]]="Question", K64, IF(TBL_ADD_04_Qs_All[[#This Row],[Sub_No]]="N/A", "-", CONCATENATE(TBL_ADD_04_Qs_All[[#This Row],[Q_No]], TBL_ADD_04_Qs_All[[#This Row],[Sub_No]])))</f>
        <v>Q6.6.3</v>
      </c>
      <c r="B63" s="424" t="s">
        <v>152</v>
      </c>
      <c r="C63"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3" s="426" t="str">
        <f>IF(OR(TBL_ADD_04_Qs_All[[#This Row],[Type]]="Overview", TBL_ADD_04_Qs_All[[#This Row],[Type]]="Sub-question", TBL_ADD_04_Qs_All[[#This Row],[Required?]]="No", TBL_ADD_04_Qs_All[[#This Row],[Section]]="IntSV", TBL_ADD_04_Qs_All[[#This Row],[Question / Sub-question]]="Not used"), "-", "")</f>
        <v>-</v>
      </c>
      <c r="E63" s="426" t="str">
        <f>IF(OR(TBL_ADD_04_Qs_All[[#This Row],[Type]]="Overview", TBL_ADD_04_Qs_All[[#This Row],[Type]]="Sub-question", TBL_ADD_04_Qs_All[[#This Row],[Required?]]="No", TBL_ADD_04_Qs_All[[#This Row],[Section]]="IntSV", TBL_ADD_04_Qs_All[[#This Row],[Question / Sub-question]]="Not used"), "-", "")</f>
        <v>-</v>
      </c>
      <c r="F63" s="427" t="str">
        <f>IF(OR(TBL_ADD_04_Qs_All[[#This Row],[Required?]]="No", TBL_ADD_04_Qs_All[[#This Row],[Section]]="IntSV", TBL_ADD_04_Qs_All[[#This Row],[Question / Sub-question]]="Not used"), "-", IF(TBL_ADD_04_Qs_All[[#This Row],[Type]]="Question", TBL_ADD_04_Qs_All[[#This Row],[No.subs]]*500, "-"))</f>
        <v>-</v>
      </c>
      <c r="G63"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3" s="426" t="str">
        <f t="array" ref="I6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3" s="424" t="s">
        <v>332</v>
      </c>
      <c r="K63" s="426" t="s">
        <v>175</v>
      </c>
      <c r="L63" s="428" t="s">
        <v>569</v>
      </c>
      <c r="M63" s="426" t="s">
        <v>2159</v>
      </c>
      <c r="N6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4" spans="1:15">
      <c r="A64" s="424" t="str">
        <f>IF(TBL_ADD_04_Qs_All[[#This Row],[Type]]="Question", K65, IF(TBL_ADD_04_Qs_All[[#This Row],[Sub_No]]="N/A", "-", CONCATENATE(TBL_ADD_04_Qs_All[[#This Row],[Q_No]], TBL_ADD_04_Qs_All[[#This Row],[Sub_No]])))</f>
        <v>Q6.6.4</v>
      </c>
      <c r="B64" s="424" t="s">
        <v>152</v>
      </c>
      <c r="C64"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4" s="426" t="str">
        <f>IF(OR(TBL_ADD_04_Qs_All[[#This Row],[Type]]="Overview", TBL_ADD_04_Qs_All[[#This Row],[Type]]="Sub-question", TBL_ADD_04_Qs_All[[#This Row],[Required?]]="No", TBL_ADD_04_Qs_All[[#This Row],[Section]]="IntSV", TBL_ADD_04_Qs_All[[#This Row],[Question / Sub-question]]="Not used"), "-", "")</f>
        <v>-</v>
      </c>
      <c r="E64" s="426" t="str">
        <f>IF(OR(TBL_ADD_04_Qs_All[[#This Row],[Type]]="Overview", TBL_ADD_04_Qs_All[[#This Row],[Type]]="Sub-question", TBL_ADD_04_Qs_All[[#This Row],[Required?]]="No", TBL_ADD_04_Qs_All[[#This Row],[Section]]="IntSV", TBL_ADD_04_Qs_All[[#This Row],[Question / Sub-question]]="Not used"), "-", "")</f>
        <v>-</v>
      </c>
      <c r="F64" s="427" t="str">
        <f>IF(OR(TBL_ADD_04_Qs_All[[#This Row],[Required?]]="No", TBL_ADD_04_Qs_All[[#This Row],[Section]]="IntSV", TBL_ADD_04_Qs_All[[#This Row],[Question / Sub-question]]="Not used"), "-", IF(TBL_ADD_04_Qs_All[[#This Row],[Type]]="Question", TBL_ADD_04_Qs_All[[#This Row],[No.subs]]*500, "-"))</f>
        <v>-</v>
      </c>
      <c r="G64"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4" s="426" t="str">
        <f t="array" ref="I6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4" s="424" t="s">
        <v>332</v>
      </c>
      <c r="K64" s="426" t="s">
        <v>175</v>
      </c>
      <c r="L64" s="428" t="s">
        <v>570</v>
      </c>
      <c r="M64" s="426" t="s">
        <v>2159</v>
      </c>
      <c r="N6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5" spans="1:15">
      <c r="A65" s="424" t="str">
        <f>IF(TBL_ADD_04_Qs_All[[#This Row],[Type]]="Question", K66, IF(TBL_ADD_04_Qs_All[[#This Row],[Sub_No]]="N/A", "-", CONCATENATE(TBL_ADD_04_Qs_All[[#This Row],[Q_No]], TBL_ADD_04_Qs_All[[#This Row],[Sub_No]])))</f>
        <v>Q6.6.5</v>
      </c>
      <c r="B65" s="424" t="s">
        <v>152</v>
      </c>
      <c r="C65"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5" s="426" t="str">
        <f>IF(OR(TBL_ADD_04_Qs_All[[#This Row],[Type]]="Overview", TBL_ADD_04_Qs_All[[#This Row],[Type]]="Sub-question", TBL_ADD_04_Qs_All[[#This Row],[Required?]]="No", TBL_ADD_04_Qs_All[[#This Row],[Section]]="IntSV", TBL_ADD_04_Qs_All[[#This Row],[Question / Sub-question]]="Not used"), "-", "")</f>
        <v>-</v>
      </c>
      <c r="E65" s="426" t="str">
        <f>IF(OR(TBL_ADD_04_Qs_All[[#This Row],[Type]]="Overview", TBL_ADD_04_Qs_All[[#This Row],[Type]]="Sub-question", TBL_ADD_04_Qs_All[[#This Row],[Required?]]="No", TBL_ADD_04_Qs_All[[#This Row],[Section]]="IntSV", TBL_ADD_04_Qs_All[[#This Row],[Question / Sub-question]]="Not used"), "-", "")</f>
        <v>-</v>
      </c>
      <c r="F65" s="427" t="str">
        <f>IF(OR(TBL_ADD_04_Qs_All[[#This Row],[Required?]]="No", TBL_ADD_04_Qs_All[[#This Row],[Section]]="IntSV", TBL_ADD_04_Qs_All[[#This Row],[Question / Sub-question]]="Not used"), "-", IF(TBL_ADD_04_Qs_All[[#This Row],[Type]]="Question", TBL_ADD_04_Qs_All[[#This Row],[No.subs]]*500, "-"))</f>
        <v>-</v>
      </c>
      <c r="G65"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5" s="426" t="str">
        <f t="array" ref="I6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5" s="424" t="s">
        <v>332</v>
      </c>
      <c r="K65" s="426" t="s">
        <v>175</v>
      </c>
      <c r="L65" s="428" t="s">
        <v>571</v>
      </c>
      <c r="M65" s="426" t="s">
        <v>2159</v>
      </c>
      <c r="N6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6" spans="1:15">
      <c r="A66" s="424" t="str">
        <f>IF(TBL_ADD_04_Qs_All[[#This Row],[Type]]="Question", K67, IF(TBL_ADD_04_Qs_All[[#This Row],[Sub_No]]="N/A", "-", CONCATENATE(TBL_ADD_04_Qs_All[[#This Row],[Q_No]], TBL_ADD_04_Qs_All[[#This Row],[Sub_No]])))</f>
        <v>Q6.6.6</v>
      </c>
      <c r="B66" s="424" t="s">
        <v>152</v>
      </c>
      <c r="C66"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6" s="426" t="str">
        <f>IF(OR(TBL_ADD_04_Qs_All[[#This Row],[Type]]="Overview", TBL_ADD_04_Qs_All[[#This Row],[Type]]="Sub-question", TBL_ADD_04_Qs_All[[#This Row],[Required?]]="No", TBL_ADD_04_Qs_All[[#This Row],[Section]]="IntSV", TBL_ADD_04_Qs_All[[#This Row],[Question / Sub-question]]="Not used"), "-", "")</f>
        <v>-</v>
      </c>
      <c r="E66" s="426" t="str">
        <f>IF(OR(TBL_ADD_04_Qs_All[[#This Row],[Type]]="Overview", TBL_ADD_04_Qs_All[[#This Row],[Type]]="Sub-question", TBL_ADD_04_Qs_All[[#This Row],[Required?]]="No", TBL_ADD_04_Qs_All[[#This Row],[Section]]="IntSV", TBL_ADD_04_Qs_All[[#This Row],[Question / Sub-question]]="Not used"), "-", "")</f>
        <v>-</v>
      </c>
      <c r="F66" s="427" t="str">
        <f>IF(OR(TBL_ADD_04_Qs_All[[#This Row],[Required?]]="No", TBL_ADD_04_Qs_All[[#This Row],[Section]]="IntSV", TBL_ADD_04_Qs_All[[#This Row],[Question / Sub-question]]="Not used"), "-", IF(TBL_ADD_04_Qs_All[[#This Row],[Type]]="Question", TBL_ADD_04_Qs_All[[#This Row],[No.subs]]*500, "-"))</f>
        <v>-</v>
      </c>
      <c r="G66"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6" s="426" t="str">
        <f t="array" ref="I6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6" s="424" t="s">
        <v>332</v>
      </c>
      <c r="K66" s="426" t="s">
        <v>175</v>
      </c>
      <c r="L66" s="428" t="s">
        <v>573</v>
      </c>
      <c r="M66" s="426" t="s">
        <v>2159</v>
      </c>
      <c r="N6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7" spans="1:15">
      <c r="A67" s="424" t="str">
        <f>IF(TBL_ADD_04_Qs_All[[#This Row],[Type]]="Question", K68, IF(TBL_ADD_04_Qs_All[[#This Row],[Sub_No]]="N/A", "-", CONCATENATE(TBL_ADD_04_Qs_All[[#This Row],[Q_No]], TBL_ADD_04_Qs_All[[#This Row],[Sub_No]])))</f>
        <v>Q6.6.7</v>
      </c>
      <c r="B67" s="424" t="s">
        <v>152</v>
      </c>
      <c r="C67"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7" s="426" t="str">
        <f>IF(OR(TBL_ADD_04_Qs_All[[#This Row],[Type]]="Overview", TBL_ADD_04_Qs_All[[#This Row],[Type]]="Sub-question", TBL_ADD_04_Qs_All[[#This Row],[Required?]]="No", TBL_ADD_04_Qs_All[[#This Row],[Section]]="IntSV", TBL_ADD_04_Qs_All[[#This Row],[Question / Sub-question]]="Not used"), "-", "")</f>
        <v>-</v>
      </c>
      <c r="E67" s="426" t="str">
        <f>IF(OR(TBL_ADD_04_Qs_All[[#This Row],[Type]]="Overview", TBL_ADD_04_Qs_All[[#This Row],[Type]]="Sub-question", TBL_ADD_04_Qs_All[[#This Row],[Required?]]="No", TBL_ADD_04_Qs_All[[#This Row],[Section]]="IntSV", TBL_ADD_04_Qs_All[[#This Row],[Question / Sub-question]]="Not used"), "-", "")</f>
        <v>-</v>
      </c>
      <c r="F67" s="427" t="str">
        <f>IF(OR(TBL_ADD_04_Qs_All[[#This Row],[Required?]]="No", TBL_ADD_04_Qs_All[[#This Row],[Section]]="IntSV", TBL_ADD_04_Qs_All[[#This Row],[Question / Sub-question]]="Not used"), "-", IF(TBL_ADD_04_Qs_All[[#This Row],[Type]]="Question", TBL_ADD_04_Qs_All[[#This Row],[No.subs]]*500, "-"))</f>
        <v>-</v>
      </c>
      <c r="G67"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7" s="426" t="str">
        <f t="array" ref="I6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7" s="424" t="s">
        <v>332</v>
      </c>
      <c r="K67" s="426" t="s">
        <v>175</v>
      </c>
      <c r="L67" s="428" t="s">
        <v>574</v>
      </c>
      <c r="M67" s="426" t="s">
        <v>2159</v>
      </c>
      <c r="N6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8" spans="1:15">
      <c r="A68" s="424" t="str">
        <f>IF(TBL_ADD_04_Qs_All[[#This Row],[Type]]="Question", K69, IF(TBL_ADD_04_Qs_All[[#This Row],[Sub_No]]="N/A", "-", CONCATENATE(TBL_ADD_04_Qs_All[[#This Row],[Q_No]], TBL_ADD_04_Qs_All[[#This Row],[Sub_No]])))</f>
        <v>Q6.6.8</v>
      </c>
      <c r="B68" s="424" t="s">
        <v>152</v>
      </c>
      <c r="C68" s="426"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8" s="426" t="str">
        <f>IF(OR(TBL_ADD_04_Qs_All[[#This Row],[Type]]="Overview", TBL_ADD_04_Qs_All[[#This Row],[Type]]="Sub-question", TBL_ADD_04_Qs_All[[#This Row],[Required?]]="No", TBL_ADD_04_Qs_All[[#This Row],[Section]]="IntSV", TBL_ADD_04_Qs_All[[#This Row],[Question / Sub-question]]="Not used"), "-", "")</f>
        <v>-</v>
      </c>
      <c r="E68" s="426" t="str">
        <f>IF(OR(TBL_ADD_04_Qs_All[[#This Row],[Type]]="Overview", TBL_ADD_04_Qs_All[[#This Row],[Type]]="Sub-question", TBL_ADD_04_Qs_All[[#This Row],[Required?]]="No", TBL_ADD_04_Qs_All[[#This Row],[Section]]="IntSV", TBL_ADD_04_Qs_All[[#This Row],[Question / Sub-question]]="Not used"), "-", "")</f>
        <v>-</v>
      </c>
      <c r="F68" s="427" t="str">
        <f>IF(OR(TBL_ADD_04_Qs_All[[#This Row],[Required?]]="No", TBL_ADD_04_Qs_All[[#This Row],[Section]]="IntSV", TBL_ADD_04_Qs_All[[#This Row],[Question / Sub-question]]="Not used"), "-", IF(TBL_ADD_04_Qs_All[[#This Row],[Type]]="Question", TBL_ADD_04_Qs_All[[#This Row],[No.subs]]*500, "-"))</f>
        <v>-</v>
      </c>
      <c r="G68" s="426"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8" s="426" t="str">
        <f t="array" ref="I6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8" s="424" t="s">
        <v>332</v>
      </c>
      <c r="K68" s="426" t="s">
        <v>175</v>
      </c>
      <c r="L68" s="428" t="s">
        <v>575</v>
      </c>
      <c r="M68" s="426" t="s">
        <v>2159</v>
      </c>
      <c r="N6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69" spans="1:15">
      <c r="A69" s="424" t="str">
        <f>IF(TBL_ADD_04_Qs_All[[#This Row],[Type]]="Question", K70, IF(TBL_ADD_04_Qs_All[[#This Row],[Sub_No]]="N/A", "-", CONCATENATE(TBL_ADD_04_Qs_All[[#This Row],[Q_No]], TBL_ADD_04_Qs_All[[#This Row],[Sub_No]])))</f>
        <v>Q6.6.9</v>
      </c>
      <c r="B69" s="424" t="s">
        <v>152</v>
      </c>
      <c r="C6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69" s="426" t="str">
        <f>IF(OR(TBL_ADD_04_Qs_All[[#This Row],[Type]]="Overview", TBL_ADD_04_Qs_All[[#This Row],[Type]]="Sub-question", TBL_ADD_04_Qs_All[[#This Row],[Required?]]="No", TBL_ADD_04_Qs_All[[#This Row],[Section]]="IntSV", TBL_ADD_04_Qs_All[[#This Row],[Question / Sub-question]]="Not used"), "-", "")</f>
        <v>-</v>
      </c>
      <c r="E69" s="425" t="str">
        <f>IF(OR(TBL_ADD_04_Qs_All[[#This Row],[Type]]="Overview", TBL_ADD_04_Qs_All[[#This Row],[Type]]="Sub-question", TBL_ADD_04_Qs_All[[#This Row],[Required?]]="No", TBL_ADD_04_Qs_All[[#This Row],[Section]]="IntSV", TBL_ADD_04_Qs_All[[#This Row],[Question / Sub-question]]="Not used"), "-", "")</f>
        <v>-</v>
      </c>
      <c r="F69" s="427" t="str">
        <f>IF(OR(TBL_ADD_04_Qs_All[[#This Row],[Required?]]="No", TBL_ADD_04_Qs_All[[#This Row],[Section]]="IntSV", TBL_ADD_04_Qs_All[[#This Row],[Question / Sub-question]]="Not used"), "-", IF(TBL_ADD_04_Qs_All[[#This Row],[Type]]="Question", TBL_ADD_04_Qs_All[[#This Row],[No.subs]]*500, "-"))</f>
        <v>-</v>
      </c>
      <c r="G6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6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69" s="426" t="str">
        <f t="array" ref="I6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69" s="424" t="s">
        <v>332</v>
      </c>
      <c r="K69" s="426" t="s">
        <v>175</v>
      </c>
      <c r="L69" s="428" t="s">
        <v>576</v>
      </c>
      <c r="M69" s="426" t="s">
        <v>2159</v>
      </c>
      <c r="N6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6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0" spans="1:15">
      <c r="A70" s="424" t="str">
        <f>IF(TBL_ADD_04_Qs_All[[#This Row],[Type]]="Question", K71, IF(TBL_ADD_04_Qs_All[[#This Row],[Sub_No]]="N/A", "-", CONCATENATE(TBL_ADD_04_Qs_All[[#This Row],[Q_No]], TBL_ADD_04_Qs_All[[#This Row],[Sub_No]])))</f>
        <v>Q6.6.10</v>
      </c>
      <c r="B70" s="424" t="s">
        <v>152</v>
      </c>
      <c r="C7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0" s="426" t="str">
        <f>IF(OR(TBL_ADD_04_Qs_All[[#This Row],[Type]]="Overview", TBL_ADD_04_Qs_All[[#This Row],[Type]]="Sub-question", TBL_ADD_04_Qs_All[[#This Row],[Required?]]="No", TBL_ADD_04_Qs_All[[#This Row],[Section]]="IntSV", TBL_ADD_04_Qs_All[[#This Row],[Question / Sub-question]]="Not used"), "-", "")</f>
        <v>-</v>
      </c>
      <c r="E70" s="425" t="str">
        <f>IF(OR(TBL_ADD_04_Qs_All[[#This Row],[Type]]="Overview", TBL_ADD_04_Qs_All[[#This Row],[Type]]="Sub-question", TBL_ADD_04_Qs_All[[#This Row],[Required?]]="No", TBL_ADD_04_Qs_All[[#This Row],[Section]]="IntSV", TBL_ADD_04_Qs_All[[#This Row],[Question / Sub-question]]="Not used"), "-", "")</f>
        <v>-</v>
      </c>
      <c r="F70" s="427" t="str">
        <f>IF(OR(TBL_ADD_04_Qs_All[[#This Row],[Required?]]="No", TBL_ADD_04_Qs_All[[#This Row],[Section]]="IntSV", TBL_ADD_04_Qs_All[[#This Row],[Question / Sub-question]]="Not used"), "-", IF(TBL_ADD_04_Qs_All[[#This Row],[Type]]="Question", TBL_ADD_04_Qs_All[[#This Row],[No.subs]]*500, "-"))</f>
        <v>-</v>
      </c>
      <c r="G7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0" s="426" t="str">
        <f t="array" ref="I7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0" s="424" t="s">
        <v>332</v>
      </c>
      <c r="K70" s="426" t="s">
        <v>175</v>
      </c>
      <c r="L70" s="428" t="s">
        <v>577</v>
      </c>
      <c r="M70" s="426" t="s">
        <v>2159</v>
      </c>
      <c r="N7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1" spans="1:15" ht="13">
      <c r="A71" s="424" t="str">
        <f>IF(TBL_ADD_04_Qs_All[[#This Row],[Type]]="Question", K72, IF(TBL_ADD_04_Qs_All[[#This Row],[Sub_No]]="N/A", "-", CONCATENATE(TBL_ADD_04_Qs_All[[#This Row],[Q_No]], TBL_ADD_04_Qs_All[[#This Row],[Sub_No]])))</f>
        <v>Q6.7</v>
      </c>
      <c r="B71" s="424" t="s">
        <v>152</v>
      </c>
      <c r="C7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71" s="426" t="str">
        <f>IF(OR(TBL_ADD_04_Qs_All[[#This Row],[Type]]="Overview", TBL_ADD_04_Qs_All[[#This Row],[Type]]="Sub-question", TBL_ADD_04_Qs_All[[#This Row],[Required?]]="No", TBL_ADD_04_Qs_All[[#This Row],[Section]]="IntSV", TBL_ADD_04_Qs_All[[#This Row],[Question / Sub-question]]="Not used"), "-", "")</f>
        <v>-</v>
      </c>
      <c r="E71" s="425" t="str">
        <f>IF(OR(TBL_ADD_04_Qs_All[[#This Row],[Type]]="Overview", TBL_ADD_04_Qs_All[[#This Row],[Type]]="Sub-question", TBL_ADD_04_Qs_All[[#This Row],[Required?]]="No", TBL_ADD_04_Qs_All[[#This Row],[Section]]="IntSV", TBL_ADD_04_Qs_All[[#This Row],[Question / Sub-question]]="Not used"), "-", "")</f>
        <v>-</v>
      </c>
      <c r="F71" s="427" t="str">
        <f>IF(OR(TBL_ADD_04_Qs_All[[#This Row],[Required?]]="No", TBL_ADD_04_Qs_All[[#This Row],[Section]]="IntSV", TBL_ADD_04_Qs_All[[#This Row],[Question / Sub-question]]="Not used"), "-", IF(TBL_ADD_04_Qs_All[[#This Row],[Type]]="Question", TBL_ADD_04_Qs_All[[#This Row],[No.subs]]*500, "-"))</f>
        <v>-</v>
      </c>
      <c r="G7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71"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71" s="426">
        <f t="array" ref="I7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71" s="424" t="s">
        <v>146</v>
      </c>
      <c r="K71" s="426" t="s">
        <v>24</v>
      </c>
      <c r="L71" s="426" t="s">
        <v>24</v>
      </c>
      <c r="M71" s="426" t="s">
        <v>2159</v>
      </c>
      <c r="N7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2" spans="1:15">
      <c r="A72" s="424" t="str">
        <f>IF(TBL_ADD_04_Qs_All[[#This Row],[Type]]="Question", K73, IF(TBL_ADD_04_Qs_All[[#This Row],[Sub_No]]="N/A", "-", CONCATENATE(TBL_ADD_04_Qs_All[[#This Row],[Q_No]], TBL_ADD_04_Qs_All[[#This Row],[Sub_No]])))</f>
        <v>Q6.7.1</v>
      </c>
      <c r="B72" s="424" t="s">
        <v>152</v>
      </c>
      <c r="C7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2" s="426" t="str">
        <f>IF(OR(TBL_ADD_04_Qs_All[[#This Row],[Type]]="Overview", TBL_ADD_04_Qs_All[[#This Row],[Type]]="Sub-question", TBL_ADD_04_Qs_All[[#This Row],[Required?]]="No", TBL_ADD_04_Qs_All[[#This Row],[Section]]="IntSV", TBL_ADD_04_Qs_All[[#This Row],[Question / Sub-question]]="Not used"), "-", "")</f>
        <v>-</v>
      </c>
      <c r="E72" s="425" t="str">
        <f>IF(OR(TBL_ADD_04_Qs_All[[#This Row],[Type]]="Overview", TBL_ADD_04_Qs_All[[#This Row],[Type]]="Sub-question", TBL_ADD_04_Qs_All[[#This Row],[Required?]]="No", TBL_ADD_04_Qs_All[[#This Row],[Section]]="IntSV", TBL_ADD_04_Qs_All[[#This Row],[Question / Sub-question]]="Not used"), "-", "")</f>
        <v>-</v>
      </c>
      <c r="F72" s="427" t="str">
        <f>IF(OR(TBL_ADD_04_Qs_All[[#This Row],[Required?]]="No", TBL_ADD_04_Qs_All[[#This Row],[Section]]="IntSV", TBL_ADD_04_Qs_All[[#This Row],[Question / Sub-question]]="Not used"), "-", IF(TBL_ADD_04_Qs_All[[#This Row],[Type]]="Question", TBL_ADD_04_Qs_All[[#This Row],[No.subs]]*500, "-"))</f>
        <v>-</v>
      </c>
      <c r="G7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2" s="426" t="str">
        <f t="array" ref="I7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2" s="424" t="s">
        <v>332</v>
      </c>
      <c r="K72" s="426" t="s">
        <v>184</v>
      </c>
      <c r="L72" s="428" t="s">
        <v>568</v>
      </c>
      <c r="M72" s="426" t="s">
        <v>2159</v>
      </c>
      <c r="N7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3" spans="1:15">
      <c r="A73" s="424" t="str">
        <f>IF(TBL_ADD_04_Qs_All[[#This Row],[Type]]="Question", K74, IF(TBL_ADD_04_Qs_All[[#This Row],[Sub_No]]="N/A", "-", CONCATENATE(TBL_ADD_04_Qs_All[[#This Row],[Q_No]], TBL_ADD_04_Qs_All[[#This Row],[Sub_No]])))</f>
        <v>Q6.7.2</v>
      </c>
      <c r="B73" s="424" t="s">
        <v>152</v>
      </c>
      <c r="C7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3" s="426" t="str">
        <f>IF(OR(TBL_ADD_04_Qs_All[[#This Row],[Type]]="Overview", TBL_ADD_04_Qs_All[[#This Row],[Type]]="Sub-question", TBL_ADD_04_Qs_All[[#This Row],[Required?]]="No", TBL_ADD_04_Qs_All[[#This Row],[Section]]="IntSV", TBL_ADD_04_Qs_All[[#This Row],[Question / Sub-question]]="Not used"), "-", "")</f>
        <v>-</v>
      </c>
      <c r="E73" s="425" t="str">
        <f>IF(OR(TBL_ADD_04_Qs_All[[#This Row],[Type]]="Overview", TBL_ADD_04_Qs_All[[#This Row],[Type]]="Sub-question", TBL_ADD_04_Qs_All[[#This Row],[Required?]]="No", TBL_ADD_04_Qs_All[[#This Row],[Section]]="IntSV", TBL_ADD_04_Qs_All[[#This Row],[Question / Sub-question]]="Not used"), "-", "")</f>
        <v>-</v>
      </c>
      <c r="F73" s="427" t="str">
        <f>IF(OR(TBL_ADD_04_Qs_All[[#This Row],[Required?]]="No", TBL_ADD_04_Qs_All[[#This Row],[Section]]="IntSV", TBL_ADD_04_Qs_All[[#This Row],[Question / Sub-question]]="Not used"), "-", IF(TBL_ADD_04_Qs_All[[#This Row],[Type]]="Question", TBL_ADD_04_Qs_All[[#This Row],[No.subs]]*500, "-"))</f>
        <v>-</v>
      </c>
      <c r="G7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3" s="426" t="str">
        <f t="array" ref="I7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3" s="424" t="s">
        <v>332</v>
      </c>
      <c r="K73" s="426" t="s">
        <v>184</v>
      </c>
      <c r="L73" s="428" t="s">
        <v>572</v>
      </c>
      <c r="M73" s="426" t="s">
        <v>2159</v>
      </c>
      <c r="N7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4" spans="1:15">
      <c r="A74" s="424" t="str">
        <f>IF(TBL_ADD_04_Qs_All[[#This Row],[Type]]="Question", K75, IF(TBL_ADD_04_Qs_All[[#This Row],[Sub_No]]="N/A", "-", CONCATENATE(TBL_ADD_04_Qs_All[[#This Row],[Q_No]], TBL_ADD_04_Qs_All[[#This Row],[Sub_No]])))</f>
        <v>Q6.7.3</v>
      </c>
      <c r="B74" s="424" t="s">
        <v>152</v>
      </c>
      <c r="C7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4" s="426" t="str">
        <f>IF(OR(TBL_ADD_04_Qs_All[[#This Row],[Type]]="Overview", TBL_ADD_04_Qs_All[[#This Row],[Type]]="Sub-question", TBL_ADD_04_Qs_All[[#This Row],[Required?]]="No", TBL_ADD_04_Qs_All[[#This Row],[Section]]="IntSV", TBL_ADD_04_Qs_All[[#This Row],[Question / Sub-question]]="Not used"), "-", "")</f>
        <v>-</v>
      </c>
      <c r="E74" s="425" t="str">
        <f>IF(OR(TBL_ADD_04_Qs_All[[#This Row],[Type]]="Overview", TBL_ADD_04_Qs_All[[#This Row],[Type]]="Sub-question", TBL_ADD_04_Qs_All[[#This Row],[Required?]]="No", TBL_ADD_04_Qs_All[[#This Row],[Section]]="IntSV", TBL_ADD_04_Qs_All[[#This Row],[Question / Sub-question]]="Not used"), "-", "")</f>
        <v>-</v>
      </c>
      <c r="F74" s="427" t="str">
        <f>IF(OR(TBL_ADD_04_Qs_All[[#This Row],[Required?]]="No", TBL_ADD_04_Qs_All[[#This Row],[Section]]="IntSV", TBL_ADD_04_Qs_All[[#This Row],[Question / Sub-question]]="Not used"), "-", IF(TBL_ADD_04_Qs_All[[#This Row],[Type]]="Question", TBL_ADD_04_Qs_All[[#This Row],[No.subs]]*500, "-"))</f>
        <v>-</v>
      </c>
      <c r="G7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4" s="426" t="str">
        <f t="array" ref="I7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4" s="424" t="s">
        <v>332</v>
      </c>
      <c r="K74" s="426" t="s">
        <v>184</v>
      </c>
      <c r="L74" s="428" t="s">
        <v>569</v>
      </c>
      <c r="M74" s="426" t="s">
        <v>2159</v>
      </c>
      <c r="N7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5" spans="1:15">
      <c r="A75" s="424" t="str">
        <f>IF(TBL_ADD_04_Qs_All[[#This Row],[Type]]="Question", K76, IF(TBL_ADD_04_Qs_All[[#This Row],[Sub_No]]="N/A", "-", CONCATENATE(TBL_ADD_04_Qs_All[[#This Row],[Q_No]], TBL_ADD_04_Qs_All[[#This Row],[Sub_No]])))</f>
        <v>Q6.7.4</v>
      </c>
      <c r="B75" s="424" t="s">
        <v>152</v>
      </c>
      <c r="C7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5" s="426" t="str">
        <f>IF(OR(TBL_ADD_04_Qs_All[[#This Row],[Type]]="Overview", TBL_ADD_04_Qs_All[[#This Row],[Type]]="Sub-question", TBL_ADD_04_Qs_All[[#This Row],[Required?]]="No", TBL_ADD_04_Qs_All[[#This Row],[Section]]="IntSV", TBL_ADD_04_Qs_All[[#This Row],[Question / Sub-question]]="Not used"), "-", "")</f>
        <v>-</v>
      </c>
      <c r="E75" s="425" t="str">
        <f>IF(OR(TBL_ADD_04_Qs_All[[#This Row],[Type]]="Overview", TBL_ADD_04_Qs_All[[#This Row],[Type]]="Sub-question", TBL_ADD_04_Qs_All[[#This Row],[Required?]]="No", TBL_ADD_04_Qs_All[[#This Row],[Section]]="IntSV", TBL_ADD_04_Qs_All[[#This Row],[Question / Sub-question]]="Not used"), "-", "")</f>
        <v>-</v>
      </c>
      <c r="F75" s="427" t="str">
        <f>IF(OR(TBL_ADD_04_Qs_All[[#This Row],[Required?]]="No", TBL_ADD_04_Qs_All[[#This Row],[Section]]="IntSV", TBL_ADD_04_Qs_All[[#This Row],[Question / Sub-question]]="Not used"), "-", IF(TBL_ADD_04_Qs_All[[#This Row],[Type]]="Question", TBL_ADD_04_Qs_All[[#This Row],[No.subs]]*500, "-"))</f>
        <v>-</v>
      </c>
      <c r="G7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5" s="426" t="str">
        <f t="array" ref="I7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5" s="424" t="s">
        <v>332</v>
      </c>
      <c r="K75" s="426" t="s">
        <v>184</v>
      </c>
      <c r="L75" s="428" t="s">
        <v>570</v>
      </c>
      <c r="M75" s="426" t="s">
        <v>2159</v>
      </c>
      <c r="N7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6" spans="1:15">
      <c r="A76" s="424" t="str">
        <f>IF(TBL_ADD_04_Qs_All[[#This Row],[Type]]="Question", K77, IF(TBL_ADD_04_Qs_All[[#This Row],[Sub_No]]="N/A", "-", CONCATENATE(TBL_ADD_04_Qs_All[[#This Row],[Q_No]], TBL_ADD_04_Qs_All[[#This Row],[Sub_No]])))</f>
        <v>Q6.7.5</v>
      </c>
      <c r="B76" s="424" t="s">
        <v>152</v>
      </c>
      <c r="C7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6" s="426" t="str">
        <f>IF(OR(TBL_ADD_04_Qs_All[[#This Row],[Type]]="Overview", TBL_ADD_04_Qs_All[[#This Row],[Type]]="Sub-question", TBL_ADD_04_Qs_All[[#This Row],[Required?]]="No", TBL_ADD_04_Qs_All[[#This Row],[Section]]="IntSV", TBL_ADD_04_Qs_All[[#This Row],[Question / Sub-question]]="Not used"), "-", "")</f>
        <v>-</v>
      </c>
      <c r="E76" s="425" t="str">
        <f>IF(OR(TBL_ADD_04_Qs_All[[#This Row],[Type]]="Overview", TBL_ADD_04_Qs_All[[#This Row],[Type]]="Sub-question", TBL_ADD_04_Qs_All[[#This Row],[Required?]]="No", TBL_ADD_04_Qs_All[[#This Row],[Section]]="IntSV", TBL_ADD_04_Qs_All[[#This Row],[Question / Sub-question]]="Not used"), "-", "")</f>
        <v>-</v>
      </c>
      <c r="F76" s="427" t="str">
        <f>IF(OR(TBL_ADD_04_Qs_All[[#This Row],[Required?]]="No", TBL_ADD_04_Qs_All[[#This Row],[Section]]="IntSV", TBL_ADD_04_Qs_All[[#This Row],[Question / Sub-question]]="Not used"), "-", IF(TBL_ADD_04_Qs_All[[#This Row],[Type]]="Question", TBL_ADD_04_Qs_All[[#This Row],[No.subs]]*500, "-"))</f>
        <v>-</v>
      </c>
      <c r="G7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6" s="426" t="str">
        <f t="array" ref="I7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6" s="424" t="s">
        <v>332</v>
      </c>
      <c r="K76" s="426" t="s">
        <v>184</v>
      </c>
      <c r="L76" s="428" t="s">
        <v>571</v>
      </c>
      <c r="M76" s="426" t="s">
        <v>2159</v>
      </c>
      <c r="N7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7" spans="1:15">
      <c r="A77" s="424" t="str">
        <f>IF(TBL_ADD_04_Qs_All[[#This Row],[Type]]="Question", K78, IF(TBL_ADD_04_Qs_All[[#This Row],[Sub_No]]="N/A", "-", CONCATENATE(TBL_ADD_04_Qs_All[[#This Row],[Q_No]], TBL_ADD_04_Qs_All[[#This Row],[Sub_No]])))</f>
        <v>Q6.7.6</v>
      </c>
      <c r="B77" s="424" t="s">
        <v>152</v>
      </c>
      <c r="C7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7" s="426" t="str">
        <f>IF(OR(TBL_ADD_04_Qs_All[[#This Row],[Type]]="Overview", TBL_ADD_04_Qs_All[[#This Row],[Type]]="Sub-question", TBL_ADD_04_Qs_All[[#This Row],[Required?]]="No", TBL_ADD_04_Qs_All[[#This Row],[Section]]="IntSV", TBL_ADD_04_Qs_All[[#This Row],[Question / Sub-question]]="Not used"), "-", "")</f>
        <v>-</v>
      </c>
      <c r="E77" s="425" t="str">
        <f>IF(OR(TBL_ADD_04_Qs_All[[#This Row],[Type]]="Overview", TBL_ADD_04_Qs_All[[#This Row],[Type]]="Sub-question", TBL_ADD_04_Qs_All[[#This Row],[Required?]]="No", TBL_ADD_04_Qs_All[[#This Row],[Section]]="IntSV", TBL_ADD_04_Qs_All[[#This Row],[Question / Sub-question]]="Not used"), "-", "")</f>
        <v>-</v>
      </c>
      <c r="F77" s="427" t="str">
        <f>IF(OR(TBL_ADD_04_Qs_All[[#This Row],[Required?]]="No", TBL_ADD_04_Qs_All[[#This Row],[Section]]="IntSV", TBL_ADD_04_Qs_All[[#This Row],[Question / Sub-question]]="Not used"), "-", IF(TBL_ADD_04_Qs_All[[#This Row],[Type]]="Question", TBL_ADD_04_Qs_All[[#This Row],[No.subs]]*500, "-"))</f>
        <v>-</v>
      </c>
      <c r="G7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7" s="426" t="str">
        <f t="array" ref="I7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7" s="424" t="s">
        <v>332</v>
      </c>
      <c r="K77" s="426" t="s">
        <v>184</v>
      </c>
      <c r="L77" s="428" t="s">
        <v>573</v>
      </c>
      <c r="M77" s="426" t="s">
        <v>2159</v>
      </c>
      <c r="N7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8" spans="1:15">
      <c r="A78" s="424" t="str">
        <f>IF(TBL_ADD_04_Qs_All[[#This Row],[Type]]="Question", K79, IF(TBL_ADD_04_Qs_All[[#This Row],[Sub_No]]="N/A", "-", CONCATENATE(TBL_ADD_04_Qs_All[[#This Row],[Q_No]], TBL_ADD_04_Qs_All[[#This Row],[Sub_No]])))</f>
        <v>Q6.7.7</v>
      </c>
      <c r="B78" s="424" t="s">
        <v>152</v>
      </c>
      <c r="C7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8" s="426" t="str">
        <f>IF(OR(TBL_ADD_04_Qs_All[[#This Row],[Type]]="Overview", TBL_ADD_04_Qs_All[[#This Row],[Type]]="Sub-question", TBL_ADD_04_Qs_All[[#This Row],[Required?]]="No", TBL_ADD_04_Qs_All[[#This Row],[Section]]="IntSV", TBL_ADD_04_Qs_All[[#This Row],[Question / Sub-question]]="Not used"), "-", "")</f>
        <v>-</v>
      </c>
      <c r="E78" s="425" t="str">
        <f>IF(OR(TBL_ADD_04_Qs_All[[#This Row],[Type]]="Overview", TBL_ADD_04_Qs_All[[#This Row],[Type]]="Sub-question", TBL_ADD_04_Qs_All[[#This Row],[Required?]]="No", TBL_ADD_04_Qs_All[[#This Row],[Section]]="IntSV", TBL_ADD_04_Qs_All[[#This Row],[Question / Sub-question]]="Not used"), "-", "")</f>
        <v>-</v>
      </c>
      <c r="F78" s="427" t="str">
        <f>IF(OR(TBL_ADD_04_Qs_All[[#This Row],[Required?]]="No", TBL_ADD_04_Qs_All[[#This Row],[Section]]="IntSV", TBL_ADD_04_Qs_All[[#This Row],[Question / Sub-question]]="Not used"), "-", IF(TBL_ADD_04_Qs_All[[#This Row],[Type]]="Question", TBL_ADD_04_Qs_All[[#This Row],[No.subs]]*500, "-"))</f>
        <v>-</v>
      </c>
      <c r="G7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8" s="426" t="str">
        <f t="array" ref="I7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8" s="424" t="s">
        <v>332</v>
      </c>
      <c r="K78" s="426" t="s">
        <v>184</v>
      </c>
      <c r="L78" s="428" t="s">
        <v>574</v>
      </c>
      <c r="M78" s="426" t="s">
        <v>2159</v>
      </c>
      <c r="N7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79" spans="1:15">
      <c r="A79" s="424" t="str">
        <f>IF(TBL_ADD_04_Qs_All[[#This Row],[Type]]="Question", K80, IF(TBL_ADD_04_Qs_All[[#This Row],[Sub_No]]="N/A", "-", CONCATENATE(TBL_ADD_04_Qs_All[[#This Row],[Q_No]], TBL_ADD_04_Qs_All[[#This Row],[Sub_No]])))</f>
        <v>Q6.7.8</v>
      </c>
      <c r="B79" s="424" t="s">
        <v>152</v>
      </c>
      <c r="C7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79" s="426" t="str">
        <f>IF(OR(TBL_ADD_04_Qs_All[[#This Row],[Type]]="Overview", TBL_ADD_04_Qs_All[[#This Row],[Type]]="Sub-question", TBL_ADD_04_Qs_All[[#This Row],[Required?]]="No", TBL_ADD_04_Qs_All[[#This Row],[Section]]="IntSV", TBL_ADD_04_Qs_All[[#This Row],[Question / Sub-question]]="Not used"), "-", "")</f>
        <v>-</v>
      </c>
      <c r="E79" s="425" t="str">
        <f>IF(OR(TBL_ADD_04_Qs_All[[#This Row],[Type]]="Overview", TBL_ADD_04_Qs_All[[#This Row],[Type]]="Sub-question", TBL_ADD_04_Qs_All[[#This Row],[Required?]]="No", TBL_ADD_04_Qs_All[[#This Row],[Section]]="IntSV", TBL_ADD_04_Qs_All[[#This Row],[Question / Sub-question]]="Not used"), "-", "")</f>
        <v>-</v>
      </c>
      <c r="F79" s="427" t="str">
        <f>IF(OR(TBL_ADD_04_Qs_All[[#This Row],[Required?]]="No", TBL_ADD_04_Qs_All[[#This Row],[Section]]="IntSV", TBL_ADD_04_Qs_All[[#This Row],[Question / Sub-question]]="Not used"), "-", IF(TBL_ADD_04_Qs_All[[#This Row],[Type]]="Question", TBL_ADD_04_Qs_All[[#This Row],[No.subs]]*500, "-"))</f>
        <v>-</v>
      </c>
      <c r="G7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7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79" s="426" t="str">
        <f t="array" ref="I7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79" s="424" t="s">
        <v>332</v>
      </c>
      <c r="K79" s="426" t="s">
        <v>184</v>
      </c>
      <c r="L79" s="428" t="s">
        <v>575</v>
      </c>
      <c r="M79" s="426" t="s">
        <v>2159</v>
      </c>
      <c r="N7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7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0" spans="1:15">
      <c r="A80" s="424" t="str">
        <f>IF(TBL_ADD_04_Qs_All[[#This Row],[Type]]="Question", K81, IF(TBL_ADD_04_Qs_All[[#This Row],[Sub_No]]="N/A", "-", CONCATENATE(TBL_ADD_04_Qs_All[[#This Row],[Q_No]], TBL_ADD_04_Qs_All[[#This Row],[Sub_No]])))</f>
        <v>Q6.7.9</v>
      </c>
      <c r="B80" s="424" t="s">
        <v>152</v>
      </c>
      <c r="C8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0" s="426" t="str">
        <f>IF(OR(TBL_ADD_04_Qs_All[[#This Row],[Type]]="Overview", TBL_ADD_04_Qs_All[[#This Row],[Type]]="Sub-question", TBL_ADD_04_Qs_All[[#This Row],[Required?]]="No", TBL_ADD_04_Qs_All[[#This Row],[Section]]="IntSV", TBL_ADD_04_Qs_All[[#This Row],[Question / Sub-question]]="Not used"), "-", "")</f>
        <v>-</v>
      </c>
      <c r="E80" s="425" t="str">
        <f>IF(OR(TBL_ADD_04_Qs_All[[#This Row],[Type]]="Overview", TBL_ADD_04_Qs_All[[#This Row],[Type]]="Sub-question", TBL_ADD_04_Qs_All[[#This Row],[Required?]]="No", TBL_ADD_04_Qs_All[[#This Row],[Section]]="IntSV", TBL_ADD_04_Qs_All[[#This Row],[Question / Sub-question]]="Not used"), "-", "")</f>
        <v>-</v>
      </c>
      <c r="F80" s="427" t="str">
        <f>IF(OR(TBL_ADD_04_Qs_All[[#This Row],[Required?]]="No", TBL_ADD_04_Qs_All[[#This Row],[Section]]="IntSV", TBL_ADD_04_Qs_All[[#This Row],[Question / Sub-question]]="Not used"), "-", IF(TBL_ADD_04_Qs_All[[#This Row],[Type]]="Question", TBL_ADD_04_Qs_All[[#This Row],[No.subs]]*500, "-"))</f>
        <v>-</v>
      </c>
      <c r="G8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0" s="426" t="str">
        <f t="array" ref="I8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0" s="424" t="s">
        <v>332</v>
      </c>
      <c r="K80" s="426" t="s">
        <v>184</v>
      </c>
      <c r="L80" s="428" t="s">
        <v>576</v>
      </c>
      <c r="M80" s="426" t="s">
        <v>2159</v>
      </c>
      <c r="N8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1" spans="1:15">
      <c r="A81" s="424" t="str">
        <f>IF(TBL_ADD_04_Qs_All[[#This Row],[Type]]="Question", K82, IF(TBL_ADD_04_Qs_All[[#This Row],[Sub_No]]="N/A", "-", CONCATENATE(TBL_ADD_04_Qs_All[[#This Row],[Q_No]], TBL_ADD_04_Qs_All[[#This Row],[Sub_No]])))</f>
        <v>Q6.7.10</v>
      </c>
      <c r="B81" s="424" t="s">
        <v>152</v>
      </c>
      <c r="C8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1" s="426" t="str">
        <f>IF(OR(TBL_ADD_04_Qs_All[[#This Row],[Type]]="Overview", TBL_ADD_04_Qs_All[[#This Row],[Type]]="Sub-question", TBL_ADD_04_Qs_All[[#This Row],[Required?]]="No", TBL_ADD_04_Qs_All[[#This Row],[Section]]="IntSV", TBL_ADD_04_Qs_All[[#This Row],[Question / Sub-question]]="Not used"), "-", "")</f>
        <v>-</v>
      </c>
      <c r="E81" s="425" t="str">
        <f>IF(OR(TBL_ADD_04_Qs_All[[#This Row],[Type]]="Overview", TBL_ADD_04_Qs_All[[#This Row],[Type]]="Sub-question", TBL_ADD_04_Qs_All[[#This Row],[Required?]]="No", TBL_ADD_04_Qs_All[[#This Row],[Section]]="IntSV", TBL_ADD_04_Qs_All[[#This Row],[Question / Sub-question]]="Not used"), "-", "")</f>
        <v>-</v>
      </c>
      <c r="F81" s="427" t="str">
        <f>IF(OR(TBL_ADD_04_Qs_All[[#This Row],[Required?]]="No", TBL_ADD_04_Qs_All[[#This Row],[Section]]="IntSV", TBL_ADD_04_Qs_All[[#This Row],[Question / Sub-question]]="Not used"), "-", IF(TBL_ADD_04_Qs_All[[#This Row],[Type]]="Question", TBL_ADD_04_Qs_All[[#This Row],[No.subs]]*500, "-"))</f>
        <v>-</v>
      </c>
      <c r="G8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1" s="426" t="str">
        <f t="array" ref="I8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1" s="424" t="s">
        <v>332</v>
      </c>
      <c r="K81" s="426" t="s">
        <v>184</v>
      </c>
      <c r="L81" s="428" t="s">
        <v>577</v>
      </c>
      <c r="M81" s="426" t="s">
        <v>2159</v>
      </c>
      <c r="N8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2" spans="1:15" ht="13">
      <c r="A82" s="424" t="str">
        <f>IF(TBL_ADD_04_Qs_All[[#This Row],[Type]]="Question", K83, IF(TBL_ADD_04_Qs_All[[#This Row],[Sub_No]]="N/A", "-", CONCATENATE(TBL_ADD_04_Qs_All[[#This Row],[Q_No]], TBL_ADD_04_Qs_All[[#This Row],[Sub_No]])))</f>
        <v>Q6.8</v>
      </c>
      <c r="B82" s="424" t="s">
        <v>152</v>
      </c>
      <c r="C8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82" s="426" t="str">
        <f>IF(OR(TBL_ADD_04_Qs_All[[#This Row],[Type]]="Overview", TBL_ADD_04_Qs_All[[#This Row],[Type]]="Sub-question", TBL_ADD_04_Qs_All[[#This Row],[Required?]]="No", TBL_ADD_04_Qs_All[[#This Row],[Section]]="IntSV", TBL_ADD_04_Qs_All[[#This Row],[Question / Sub-question]]="Not used"), "-", "")</f>
        <v>-</v>
      </c>
      <c r="E82" s="425" t="str">
        <f>IF(OR(TBL_ADD_04_Qs_All[[#This Row],[Type]]="Overview", TBL_ADD_04_Qs_All[[#This Row],[Type]]="Sub-question", TBL_ADD_04_Qs_All[[#This Row],[Required?]]="No", TBL_ADD_04_Qs_All[[#This Row],[Section]]="IntSV", TBL_ADD_04_Qs_All[[#This Row],[Question / Sub-question]]="Not used"), "-", "")</f>
        <v>-</v>
      </c>
      <c r="F82" s="427" t="str">
        <f>IF(OR(TBL_ADD_04_Qs_All[[#This Row],[Required?]]="No", TBL_ADD_04_Qs_All[[#This Row],[Section]]="IntSV", TBL_ADD_04_Qs_All[[#This Row],[Question / Sub-question]]="Not used"), "-", IF(TBL_ADD_04_Qs_All[[#This Row],[Type]]="Question", TBL_ADD_04_Qs_All[[#This Row],[No.subs]]*500, "-"))</f>
        <v>-</v>
      </c>
      <c r="G8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82"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82" s="426">
        <f t="array" ref="I8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82" s="424" t="s">
        <v>146</v>
      </c>
      <c r="K82" s="426" t="s">
        <v>24</v>
      </c>
      <c r="L82" s="426" t="s">
        <v>24</v>
      </c>
      <c r="M82" s="426" t="s">
        <v>2159</v>
      </c>
      <c r="N8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3" spans="1:15">
      <c r="A83" s="424" t="str">
        <f>IF(TBL_ADD_04_Qs_All[[#This Row],[Type]]="Question", K84, IF(TBL_ADD_04_Qs_All[[#This Row],[Sub_No]]="N/A", "-", CONCATENATE(TBL_ADD_04_Qs_All[[#This Row],[Q_No]], TBL_ADD_04_Qs_All[[#This Row],[Sub_No]])))</f>
        <v>Q6.8.1</v>
      </c>
      <c r="B83" s="424" t="s">
        <v>152</v>
      </c>
      <c r="C8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3" s="426" t="str">
        <f>IF(OR(TBL_ADD_04_Qs_All[[#This Row],[Type]]="Overview", TBL_ADD_04_Qs_All[[#This Row],[Type]]="Sub-question", TBL_ADD_04_Qs_All[[#This Row],[Required?]]="No", TBL_ADD_04_Qs_All[[#This Row],[Section]]="IntSV", TBL_ADD_04_Qs_All[[#This Row],[Question / Sub-question]]="Not used"), "-", "")</f>
        <v>-</v>
      </c>
      <c r="E83" s="425" t="str">
        <f>IF(OR(TBL_ADD_04_Qs_All[[#This Row],[Type]]="Overview", TBL_ADD_04_Qs_All[[#This Row],[Type]]="Sub-question", TBL_ADD_04_Qs_All[[#This Row],[Required?]]="No", TBL_ADD_04_Qs_All[[#This Row],[Section]]="IntSV", TBL_ADD_04_Qs_All[[#This Row],[Question / Sub-question]]="Not used"), "-", "")</f>
        <v>-</v>
      </c>
      <c r="F83" s="427" t="str">
        <f>IF(OR(TBL_ADD_04_Qs_All[[#This Row],[Required?]]="No", TBL_ADD_04_Qs_All[[#This Row],[Section]]="IntSV", TBL_ADD_04_Qs_All[[#This Row],[Question / Sub-question]]="Not used"), "-", IF(TBL_ADD_04_Qs_All[[#This Row],[Type]]="Question", TBL_ADD_04_Qs_All[[#This Row],[No.subs]]*500, "-"))</f>
        <v>-</v>
      </c>
      <c r="G8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3" s="426" t="str">
        <f t="array" ref="I8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3" s="424" t="s">
        <v>332</v>
      </c>
      <c r="K83" s="426" t="s">
        <v>195</v>
      </c>
      <c r="L83" s="428" t="s">
        <v>568</v>
      </c>
      <c r="M83" s="426" t="s">
        <v>2159</v>
      </c>
      <c r="N8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4" spans="1:15">
      <c r="A84" s="424" t="str">
        <f>IF(TBL_ADD_04_Qs_All[[#This Row],[Type]]="Question", K85, IF(TBL_ADD_04_Qs_All[[#This Row],[Sub_No]]="N/A", "-", CONCATENATE(TBL_ADD_04_Qs_All[[#This Row],[Q_No]], TBL_ADD_04_Qs_All[[#This Row],[Sub_No]])))</f>
        <v>Q6.8.2</v>
      </c>
      <c r="B84" s="424" t="s">
        <v>152</v>
      </c>
      <c r="C8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4" s="426" t="str">
        <f>IF(OR(TBL_ADD_04_Qs_All[[#This Row],[Type]]="Overview", TBL_ADD_04_Qs_All[[#This Row],[Type]]="Sub-question", TBL_ADD_04_Qs_All[[#This Row],[Required?]]="No", TBL_ADD_04_Qs_All[[#This Row],[Section]]="IntSV", TBL_ADD_04_Qs_All[[#This Row],[Question / Sub-question]]="Not used"), "-", "")</f>
        <v>-</v>
      </c>
      <c r="E84" s="425" t="str">
        <f>IF(OR(TBL_ADD_04_Qs_All[[#This Row],[Type]]="Overview", TBL_ADD_04_Qs_All[[#This Row],[Type]]="Sub-question", TBL_ADD_04_Qs_All[[#This Row],[Required?]]="No", TBL_ADD_04_Qs_All[[#This Row],[Section]]="IntSV", TBL_ADD_04_Qs_All[[#This Row],[Question / Sub-question]]="Not used"), "-", "")</f>
        <v>-</v>
      </c>
      <c r="F84" s="427" t="str">
        <f>IF(OR(TBL_ADD_04_Qs_All[[#This Row],[Required?]]="No", TBL_ADD_04_Qs_All[[#This Row],[Section]]="IntSV", TBL_ADD_04_Qs_All[[#This Row],[Question / Sub-question]]="Not used"), "-", IF(TBL_ADD_04_Qs_All[[#This Row],[Type]]="Question", TBL_ADD_04_Qs_All[[#This Row],[No.subs]]*500, "-"))</f>
        <v>-</v>
      </c>
      <c r="G8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4" s="426" t="str">
        <f t="array" ref="I8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4" s="424" t="s">
        <v>332</v>
      </c>
      <c r="K84" s="426" t="s">
        <v>195</v>
      </c>
      <c r="L84" s="428" t="s">
        <v>572</v>
      </c>
      <c r="M84" s="426" t="s">
        <v>2159</v>
      </c>
      <c r="N8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5" spans="1:15">
      <c r="A85" s="424" t="str">
        <f>IF(TBL_ADD_04_Qs_All[[#This Row],[Type]]="Question", K86, IF(TBL_ADD_04_Qs_All[[#This Row],[Sub_No]]="N/A", "-", CONCATENATE(TBL_ADD_04_Qs_All[[#This Row],[Q_No]], TBL_ADD_04_Qs_All[[#This Row],[Sub_No]])))</f>
        <v>Q6.8.3</v>
      </c>
      <c r="B85" s="424" t="s">
        <v>152</v>
      </c>
      <c r="C8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5" s="426" t="str">
        <f>IF(OR(TBL_ADD_04_Qs_All[[#This Row],[Type]]="Overview", TBL_ADD_04_Qs_All[[#This Row],[Type]]="Sub-question", TBL_ADD_04_Qs_All[[#This Row],[Required?]]="No", TBL_ADD_04_Qs_All[[#This Row],[Section]]="IntSV", TBL_ADD_04_Qs_All[[#This Row],[Question / Sub-question]]="Not used"), "-", "")</f>
        <v>-</v>
      </c>
      <c r="E85" s="425" t="str">
        <f>IF(OR(TBL_ADD_04_Qs_All[[#This Row],[Type]]="Overview", TBL_ADD_04_Qs_All[[#This Row],[Type]]="Sub-question", TBL_ADD_04_Qs_All[[#This Row],[Required?]]="No", TBL_ADD_04_Qs_All[[#This Row],[Section]]="IntSV", TBL_ADD_04_Qs_All[[#This Row],[Question / Sub-question]]="Not used"), "-", "")</f>
        <v>-</v>
      </c>
      <c r="F85" s="427" t="str">
        <f>IF(OR(TBL_ADD_04_Qs_All[[#This Row],[Required?]]="No", TBL_ADD_04_Qs_All[[#This Row],[Section]]="IntSV", TBL_ADD_04_Qs_All[[#This Row],[Question / Sub-question]]="Not used"), "-", IF(TBL_ADD_04_Qs_All[[#This Row],[Type]]="Question", TBL_ADD_04_Qs_All[[#This Row],[No.subs]]*500, "-"))</f>
        <v>-</v>
      </c>
      <c r="G8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5" s="426" t="str">
        <f t="array" ref="I8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5" s="424" t="s">
        <v>332</v>
      </c>
      <c r="K85" s="426" t="s">
        <v>195</v>
      </c>
      <c r="L85" s="428" t="s">
        <v>569</v>
      </c>
      <c r="M85" s="426" t="s">
        <v>2159</v>
      </c>
      <c r="N8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6" spans="1:15">
      <c r="A86" s="424" t="str">
        <f>IF(TBL_ADD_04_Qs_All[[#This Row],[Type]]="Question", K87, IF(TBL_ADD_04_Qs_All[[#This Row],[Sub_No]]="N/A", "-", CONCATENATE(TBL_ADD_04_Qs_All[[#This Row],[Q_No]], TBL_ADD_04_Qs_All[[#This Row],[Sub_No]])))</f>
        <v>Q6.8.4</v>
      </c>
      <c r="B86" s="424" t="s">
        <v>152</v>
      </c>
      <c r="C8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6" s="426" t="str">
        <f>IF(OR(TBL_ADD_04_Qs_All[[#This Row],[Type]]="Overview", TBL_ADD_04_Qs_All[[#This Row],[Type]]="Sub-question", TBL_ADD_04_Qs_All[[#This Row],[Required?]]="No", TBL_ADD_04_Qs_All[[#This Row],[Section]]="IntSV", TBL_ADD_04_Qs_All[[#This Row],[Question / Sub-question]]="Not used"), "-", "")</f>
        <v>-</v>
      </c>
      <c r="E86" s="425" t="str">
        <f>IF(OR(TBL_ADD_04_Qs_All[[#This Row],[Type]]="Overview", TBL_ADD_04_Qs_All[[#This Row],[Type]]="Sub-question", TBL_ADD_04_Qs_All[[#This Row],[Required?]]="No", TBL_ADD_04_Qs_All[[#This Row],[Section]]="IntSV", TBL_ADD_04_Qs_All[[#This Row],[Question / Sub-question]]="Not used"), "-", "")</f>
        <v>-</v>
      </c>
      <c r="F86" s="427" t="str">
        <f>IF(OR(TBL_ADD_04_Qs_All[[#This Row],[Required?]]="No", TBL_ADD_04_Qs_All[[#This Row],[Section]]="IntSV", TBL_ADD_04_Qs_All[[#This Row],[Question / Sub-question]]="Not used"), "-", IF(TBL_ADD_04_Qs_All[[#This Row],[Type]]="Question", TBL_ADD_04_Qs_All[[#This Row],[No.subs]]*500, "-"))</f>
        <v>-</v>
      </c>
      <c r="G8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6" s="426" t="str">
        <f t="array" ref="I8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6" s="424" t="s">
        <v>332</v>
      </c>
      <c r="K86" s="426" t="s">
        <v>195</v>
      </c>
      <c r="L86" s="428" t="s">
        <v>570</v>
      </c>
      <c r="M86" s="426" t="s">
        <v>2159</v>
      </c>
      <c r="N8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7" spans="1:15">
      <c r="A87" s="424" t="str">
        <f>IF(TBL_ADD_04_Qs_All[[#This Row],[Type]]="Question", K88, IF(TBL_ADD_04_Qs_All[[#This Row],[Sub_No]]="N/A", "-", CONCATENATE(TBL_ADD_04_Qs_All[[#This Row],[Q_No]], TBL_ADD_04_Qs_All[[#This Row],[Sub_No]])))</f>
        <v>Q6.8.5</v>
      </c>
      <c r="B87" s="424" t="s">
        <v>152</v>
      </c>
      <c r="C8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7" s="426" t="str">
        <f>IF(OR(TBL_ADD_04_Qs_All[[#This Row],[Type]]="Overview", TBL_ADD_04_Qs_All[[#This Row],[Type]]="Sub-question", TBL_ADD_04_Qs_All[[#This Row],[Required?]]="No", TBL_ADD_04_Qs_All[[#This Row],[Section]]="IntSV", TBL_ADD_04_Qs_All[[#This Row],[Question / Sub-question]]="Not used"), "-", "")</f>
        <v>-</v>
      </c>
      <c r="E87" s="425" t="str">
        <f>IF(OR(TBL_ADD_04_Qs_All[[#This Row],[Type]]="Overview", TBL_ADD_04_Qs_All[[#This Row],[Type]]="Sub-question", TBL_ADD_04_Qs_All[[#This Row],[Required?]]="No", TBL_ADD_04_Qs_All[[#This Row],[Section]]="IntSV", TBL_ADD_04_Qs_All[[#This Row],[Question / Sub-question]]="Not used"), "-", "")</f>
        <v>-</v>
      </c>
      <c r="F87" s="427" t="str">
        <f>IF(OR(TBL_ADD_04_Qs_All[[#This Row],[Required?]]="No", TBL_ADD_04_Qs_All[[#This Row],[Section]]="IntSV", TBL_ADD_04_Qs_All[[#This Row],[Question / Sub-question]]="Not used"), "-", IF(TBL_ADD_04_Qs_All[[#This Row],[Type]]="Question", TBL_ADD_04_Qs_All[[#This Row],[No.subs]]*500, "-"))</f>
        <v>-</v>
      </c>
      <c r="G8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7" s="426" t="str">
        <f t="array" ref="I8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7" s="424" t="s">
        <v>332</v>
      </c>
      <c r="K87" s="426" t="s">
        <v>195</v>
      </c>
      <c r="L87" s="428" t="s">
        <v>571</v>
      </c>
      <c r="M87" s="426" t="s">
        <v>2159</v>
      </c>
      <c r="N8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8" spans="1:15">
      <c r="A88" s="424" t="str">
        <f>IF(TBL_ADD_04_Qs_All[[#This Row],[Type]]="Question", K89, IF(TBL_ADD_04_Qs_All[[#This Row],[Sub_No]]="N/A", "-", CONCATENATE(TBL_ADD_04_Qs_All[[#This Row],[Q_No]], TBL_ADD_04_Qs_All[[#This Row],[Sub_No]])))</f>
        <v>Q6.8.6</v>
      </c>
      <c r="B88" s="424" t="s">
        <v>152</v>
      </c>
      <c r="C8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8" s="426" t="str">
        <f>IF(OR(TBL_ADD_04_Qs_All[[#This Row],[Type]]="Overview", TBL_ADD_04_Qs_All[[#This Row],[Type]]="Sub-question", TBL_ADD_04_Qs_All[[#This Row],[Required?]]="No", TBL_ADD_04_Qs_All[[#This Row],[Section]]="IntSV", TBL_ADD_04_Qs_All[[#This Row],[Question / Sub-question]]="Not used"), "-", "")</f>
        <v>-</v>
      </c>
      <c r="E88" s="425" t="str">
        <f>IF(OR(TBL_ADD_04_Qs_All[[#This Row],[Type]]="Overview", TBL_ADD_04_Qs_All[[#This Row],[Type]]="Sub-question", TBL_ADD_04_Qs_All[[#This Row],[Required?]]="No", TBL_ADD_04_Qs_All[[#This Row],[Section]]="IntSV", TBL_ADD_04_Qs_All[[#This Row],[Question / Sub-question]]="Not used"), "-", "")</f>
        <v>-</v>
      </c>
      <c r="F88" s="427" t="str">
        <f>IF(OR(TBL_ADD_04_Qs_All[[#This Row],[Required?]]="No", TBL_ADD_04_Qs_All[[#This Row],[Section]]="IntSV", TBL_ADD_04_Qs_All[[#This Row],[Question / Sub-question]]="Not used"), "-", IF(TBL_ADD_04_Qs_All[[#This Row],[Type]]="Question", TBL_ADD_04_Qs_All[[#This Row],[No.subs]]*500, "-"))</f>
        <v>-</v>
      </c>
      <c r="G8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8" s="426" t="str">
        <f t="array" ref="I8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8" s="424" t="s">
        <v>332</v>
      </c>
      <c r="K88" s="426" t="s">
        <v>195</v>
      </c>
      <c r="L88" s="428" t="s">
        <v>573</v>
      </c>
      <c r="M88" s="426" t="s">
        <v>2159</v>
      </c>
      <c r="N8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89" spans="1:15">
      <c r="A89" s="424" t="str">
        <f>IF(TBL_ADD_04_Qs_All[[#This Row],[Type]]="Question", K90, IF(TBL_ADD_04_Qs_All[[#This Row],[Sub_No]]="N/A", "-", CONCATENATE(TBL_ADD_04_Qs_All[[#This Row],[Q_No]], TBL_ADD_04_Qs_All[[#This Row],[Sub_No]])))</f>
        <v>Q6.8.7</v>
      </c>
      <c r="B89" s="424" t="s">
        <v>152</v>
      </c>
      <c r="C8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89" s="426" t="str">
        <f>IF(OR(TBL_ADD_04_Qs_All[[#This Row],[Type]]="Overview", TBL_ADD_04_Qs_All[[#This Row],[Type]]="Sub-question", TBL_ADD_04_Qs_All[[#This Row],[Required?]]="No", TBL_ADD_04_Qs_All[[#This Row],[Section]]="IntSV", TBL_ADD_04_Qs_All[[#This Row],[Question / Sub-question]]="Not used"), "-", "")</f>
        <v>-</v>
      </c>
      <c r="E89" s="425" t="str">
        <f>IF(OR(TBL_ADD_04_Qs_All[[#This Row],[Type]]="Overview", TBL_ADD_04_Qs_All[[#This Row],[Type]]="Sub-question", TBL_ADD_04_Qs_All[[#This Row],[Required?]]="No", TBL_ADD_04_Qs_All[[#This Row],[Section]]="IntSV", TBL_ADD_04_Qs_All[[#This Row],[Question / Sub-question]]="Not used"), "-", "")</f>
        <v>-</v>
      </c>
      <c r="F89" s="427" t="str">
        <f>IF(OR(TBL_ADD_04_Qs_All[[#This Row],[Required?]]="No", TBL_ADD_04_Qs_All[[#This Row],[Section]]="IntSV", TBL_ADD_04_Qs_All[[#This Row],[Question / Sub-question]]="Not used"), "-", IF(TBL_ADD_04_Qs_All[[#This Row],[Type]]="Question", TBL_ADD_04_Qs_All[[#This Row],[No.subs]]*500, "-"))</f>
        <v>-</v>
      </c>
      <c r="G8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8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89" s="426" t="str">
        <f t="array" ref="I8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89" s="424" t="s">
        <v>332</v>
      </c>
      <c r="K89" s="426" t="s">
        <v>195</v>
      </c>
      <c r="L89" s="428" t="s">
        <v>574</v>
      </c>
      <c r="M89" s="426" t="s">
        <v>2159</v>
      </c>
      <c r="N8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8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0" spans="1:15">
      <c r="A90" s="424" t="str">
        <f>IF(TBL_ADD_04_Qs_All[[#This Row],[Type]]="Question", K91, IF(TBL_ADD_04_Qs_All[[#This Row],[Sub_No]]="N/A", "-", CONCATENATE(TBL_ADD_04_Qs_All[[#This Row],[Q_No]], TBL_ADD_04_Qs_All[[#This Row],[Sub_No]])))</f>
        <v>Q6.8.8</v>
      </c>
      <c r="B90" s="424" t="s">
        <v>152</v>
      </c>
      <c r="C9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0" s="426" t="str">
        <f>IF(OR(TBL_ADD_04_Qs_All[[#This Row],[Type]]="Overview", TBL_ADD_04_Qs_All[[#This Row],[Type]]="Sub-question", TBL_ADD_04_Qs_All[[#This Row],[Required?]]="No", TBL_ADD_04_Qs_All[[#This Row],[Section]]="IntSV", TBL_ADD_04_Qs_All[[#This Row],[Question / Sub-question]]="Not used"), "-", "")</f>
        <v>-</v>
      </c>
      <c r="E90" s="425" t="str">
        <f>IF(OR(TBL_ADD_04_Qs_All[[#This Row],[Type]]="Overview", TBL_ADD_04_Qs_All[[#This Row],[Type]]="Sub-question", TBL_ADD_04_Qs_All[[#This Row],[Required?]]="No", TBL_ADD_04_Qs_All[[#This Row],[Section]]="IntSV", TBL_ADD_04_Qs_All[[#This Row],[Question / Sub-question]]="Not used"), "-", "")</f>
        <v>-</v>
      </c>
      <c r="F90" s="427" t="str">
        <f>IF(OR(TBL_ADD_04_Qs_All[[#This Row],[Required?]]="No", TBL_ADD_04_Qs_All[[#This Row],[Section]]="IntSV", TBL_ADD_04_Qs_All[[#This Row],[Question / Sub-question]]="Not used"), "-", IF(TBL_ADD_04_Qs_All[[#This Row],[Type]]="Question", TBL_ADD_04_Qs_All[[#This Row],[No.subs]]*500, "-"))</f>
        <v>-</v>
      </c>
      <c r="G9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0" s="426" t="str">
        <f t="array" ref="I9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0" s="424" t="s">
        <v>332</v>
      </c>
      <c r="K90" s="426" t="s">
        <v>195</v>
      </c>
      <c r="L90" s="428" t="s">
        <v>575</v>
      </c>
      <c r="M90" s="426" t="s">
        <v>2159</v>
      </c>
      <c r="N9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1" spans="1:15">
      <c r="A91" s="424" t="str">
        <f>IF(TBL_ADD_04_Qs_All[[#This Row],[Type]]="Question", K92, IF(TBL_ADD_04_Qs_All[[#This Row],[Sub_No]]="N/A", "-", CONCATENATE(TBL_ADD_04_Qs_All[[#This Row],[Q_No]], TBL_ADD_04_Qs_All[[#This Row],[Sub_No]])))</f>
        <v>Q6.8.9</v>
      </c>
      <c r="B91" s="424" t="s">
        <v>152</v>
      </c>
      <c r="C9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1" s="426" t="str">
        <f>IF(OR(TBL_ADD_04_Qs_All[[#This Row],[Type]]="Overview", TBL_ADD_04_Qs_All[[#This Row],[Type]]="Sub-question", TBL_ADD_04_Qs_All[[#This Row],[Required?]]="No", TBL_ADD_04_Qs_All[[#This Row],[Section]]="IntSV", TBL_ADD_04_Qs_All[[#This Row],[Question / Sub-question]]="Not used"), "-", "")</f>
        <v>-</v>
      </c>
      <c r="E91" s="425" t="str">
        <f>IF(OR(TBL_ADD_04_Qs_All[[#This Row],[Type]]="Overview", TBL_ADD_04_Qs_All[[#This Row],[Type]]="Sub-question", TBL_ADD_04_Qs_All[[#This Row],[Required?]]="No", TBL_ADD_04_Qs_All[[#This Row],[Section]]="IntSV", TBL_ADD_04_Qs_All[[#This Row],[Question / Sub-question]]="Not used"), "-", "")</f>
        <v>-</v>
      </c>
      <c r="F91" s="427" t="str">
        <f>IF(OR(TBL_ADD_04_Qs_All[[#This Row],[Required?]]="No", TBL_ADD_04_Qs_All[[#This Row],[Section]]="IntSV", TBL_ADD_04_Qs_All[[#This Row],[Question / Sub-question]]="Not used"), "-", IF(TBL_ADD_04_Qs_All[[#This Row],[Type]]="Question", TBL_ADD_04_Qs_All[[#This Row],[No.subs]]*500, "-"))</f>
        <v>-</v>
      </c>
      <c r="G9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1" s="426" t="str">
        <f t="array" ref="I9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1" s="424" t="s">
        <v>332</v>
      </c>
      <c r="K91" s="426" t="s">
        <v>195</v>
      </c>
      <c r="L91" s="428" t="s">
        <v>576</v>
      </c>
      <c r="M91" s="426" t="s">
        <v>2159</v>
      </c>
      <c r="N9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2" spans="1:15">
      <c r="A92" s="424" t="str">
        <f>IF(TBL_ADD_04_Qs_All[[#This Row],[Type]]="Question", K93, IF(TBL_ADD_04_Qs_All[[#This Row],[Sub_No]]="N/A", "-", CONCATENATE(TBL_ADD_04_Qs_All[[#This Row],[Q_No]], TBL_ADD_04_Qs_All[[#This Row],[Sub_No]])))</f>
        <v>Q6.8.10</v>
      </c>
      <c r="B92" s="424" t="s">
        <v>152</v>
      </c>
      <c r="C9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2" s="426" t="str">
        <f>IF(OR(TBL_ADD_04_Qs_All[[#This Row],[Type]]="Overview", TBL_ADD_04_Qs_All[[#This Row],[Type]]="Sub-question", TBL_ADD_04_Qs_All[[#This Row],[Required?]]="No", TBL_ADD_04_Qs_All[[#This Row],[Section]]="IntSV", TBL_ADD_04_Qs_All[[#This Row],[Question / Sub-question]]="Not used"), "-", "")</f>
        <v>-</v>
      </c>
      <c r="E92" s="425" t="str">
        <f>IF(OR(TBL_ADD_04_Qs_All[[#This Row],[Type]]="Overview", TBL_ADD_04_Qs_All[[#This Row],[Type]]="Sub-question", TBL_ADD_04_Qs_All[[#This Row],[Required?]]="No", TBL_ADD_04_Qs_All[[#This Row],[Section]]="IntSV", TBL_ADD_04_Qs_All[[#This Row],[Question / Sub-question]]="Not used"), "-", "")</f>
        <v>-</v>
      </c>
      <c r="F92" s="427" t="str">
        <f>IF(OR(TBL_ADD_04_Qs_All[[#This Row],[Required?]]="No", TBL_ADD_04_Qs_All[[#This Row],[Section]]="IntSV", TBL_ADD_04_Qs_All[[#This Row],[Question / Sub-question]]="Not used"), "-", IF(TBL_ADD_04_Qs_All[[#This Row],[Type]]="Question", TBL_ADD_04_Qs_All[[#This Row],[No.subs]]*500, "-"))</f>
        <v>-</v>
      </c>
      <c r="G9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2" s="426" t="str">
        <f t="array" ref="I9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2" s="424" t="s">
        <v>332</v>
      </c>
      <c r="K92" s="426" t="s">
        <v>195</v>
      </c>
      <c r="L92" s="428" t="s">
        <v>577</v>
      </c>
      <c r="M92" s="426" t="s">
        <v>2159</v>
      </c>
      <c r="N9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3" spans="1:15" ht="13">
      <c r="A93" s="424" t="str">
        <f>IF(TBL_ADD_04_Qs_All[[#This Row],[Type]]="Question", K94, IF(TBL_ADD_04_Qs_All[[#This Row],[Sub_No]]="N/A", "-", CONCATENATE(TBL_ADD_04_Qs_All[[#This Row],[Q_No]], TBL_ADD_04_Qs_All[[#This Row],[Sub_No]])))</f>
        <v>Q6.9</v>
      </c>
      <c r="B93" s="424" t="s">
        <v>152</v>
      </c>
      <c r="C9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93" s="426" t="str">
        <f>IF(OR(TBL_ADD_04_Qs_All[[#This Row],[Type]]="Overview", TBL_ADD_04_Qs_All[[#This Row],[Type]]="Sub-question", TBL_ADD_04_Qs_All[[#This Row],[Required?]]="No", TBL_ADD_04_Qs_All[[#This Row],[Section]]="IntSV", TBL_ADD_04_Qs_All[[#This Row],[Question / Sub-question]]="Not used"), "-", "")</f>
        <v>-</v>
      </c>
      <c r="E93" s="425" t="str">
        <f>IF(OR(TBL_ADD_04_Qs_All[[#This Row],[Type]]="Overview", TBL_ADD_04_Qs_All[[#This Row],[Type]]="Sub-question", TBL_ADD_04_Qs_All[[#This Row],[Required?]]="No", TBL_ADD_04_Qs_All[[#This Row],[Section]]="IntSV", TBL_ADD_04_Qs_All[[#This Row],[Question / Sub-question]]="Not used"), "-", "")</f>
        <v>-</v>
      </c>
      <c r="F93" s="427" t="str">
        <f>IF(OR(TBL_ADD_04_Qs_All[[#This Row],[Required?]]="No", TBL_ADD_04_Qs_All[[#This Row],[Section]]="IntSV", TBL_ADD_04_Qs_All[[#This Row],[Question / Sub-question]]="Not used"), "-", IF(TBL_ADD_04_Qs_All[[#This Row],[Type]]="Question", TBL_ADD_04_Qs_All[[#This Row],[No.subs]]*500, "-"))</f>
        <v>-</v>
      </c>
      <c r="G9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93"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93" s="426">
        <f t="array" ref="I9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93" s="424" t="s">
        <v>146</v>
      </c>
      <c r="K93" s="426" t="s">
        <v>24</v>
      </c>
      <c r="L93" s="426" t="s">
        <v>24</v>
      </c>
      <c r="M93" s="426" t="s">
        <v>2159</v>
      </c>
      <c r="N9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4" spans="1:15">
      <c r="A94" s="424" t="str">
        <f>IF(TBL_ADD_04_Qs_All[[#This Row],[Type]]="Question", K95, IF(TBL_ADD_04_Qs_All[[#This Row],[Sub_No]]="N/A", "-", CONCATENATE(TBL_ADD_04_Qs_All[[#This Row],[Q_No]], TBL_ADD_04_Qs_All[[#This Row],[Sub_No]])))</f>
        <v>Q6.9.1</v>
      </c>
      <c r="B94" s="424" t="s">
        <v>152</v>
      </c>
      <c r="C9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4" s="426" t="str">
        <f>IF(OR(TBL_ADD_04_Qs_All[[#This Row],[Type]]="Overview", TBL_ADD_04_Qs_All[[#This Row],[Type]]="Sub-question", TBL_ADD_04_Qs_All[[#This Row],[Required?]]="No", TBL_ADD_04_Qs_All[[#This Row],[Section]]="IntSV", TBL_ADD_04_Qs_All[[#This Row],[Question / Sub-question]]="Not used"), "-", "")</f>
        <v>-</v>
      </c>
      <c r="E94" s="425" t="str">
        <f>IF(OR(TBL_ADD_04_Qs_All[[#This Row],[Type]]="Overview", TBL_ADD_04_Qs_All[[#This Row],[Type]]="Sub-question", TBL_ADD_04_Qs_All[[#This Row],[Required?]]="No", TBL_ADD_04_Qs_All[[#This Row],[Section]]="IntSV", TBL_ADD_04_Qs_All[[#This Row],[Question / Sub-question]]="Not used"), "-", "")</f>
        <v>-</v>
      </c>
      <c r="F94" s="427" t="str">
        <f>IF(OR(TBL_ADD_04_Qs_All[[#This Row],[Required?]]="No", TBL_ADD_04_Qs_All[[#This Row],[Section]]="IntSV", TBL_ADD_04_Qs_All[[#This Row],[Question / Sub-question]]="Not used"), "-", IF(TBL_ADD_04_Qs_All[[#This Row],[Type]]="Question", TBL_ADD_04_Qs_All[[#This Row],[No.subs]]*500, "-"))</f>
        <v>-</v>
      </c>
      <c r="G9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4" s="426" t="str">
        <f t="array" ref="I9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4" s="424" t="s">
        <v>332</v>
      </c>
      <c r="K94" s="426" t="s">
        <v>261</v>
      </c>
      <c r="L94" s="428" t="s">
        <v>568</v>
      </c>
      <c r="M94" s="426" t="s">
        <v>2159</v>
      </c>
      <c r="N9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5" spans="1:15">
      <c r="A95" s="424" t="str">
        <f>IF(TBL_ADD_04_Qs_All[[#This Row],[Type]]="Question", K96, IF(TBL_ADD_04_Qs_All[[#This Row],[Sub_No]]="N/A", "-", CONCATENATE(TBL_ADD_04_Qs_All[[#This Row],[Q_No]], TBL_ADD_04_Qs_All[[#This Row],[Sub_No]])))</f>
        <v>Q6.9.2</v>
      </c>
      <c r="B95" s="424" t="s">
        <v>152</v>
      </c>
      <c r="C9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5" s="426" t="str">
        <f>IF(OR(TBL_ADD_04_Qs_All[[#This Row],[Type]]="Overview", TBL_ADD_04_Qs_All[[#This Row],[Type]]="Sub-question", TBL_ADD_04_Qs_All[[#This Row],[Required?]]="No", TBL_ADD_04_Qs_All[[#This Row],[Section]]="IntSV", TBL_ADD_04_Qs_All[[#This Row],[Question / Sub-question]]="Not used"), "-", "")</f>
        <v>-</v>
      </c>
      <c r="E95" s="425" t="str">
        <f>IF(OR(TBL_ADD_04_Qs_All[[#This Row],[Type]]="Overview", TBL_ADD_04_Qs_All[[#This Row],[Type]]="Sub-question", TBL_ADD_04_Qs_All[[#This Row],[Required?]]="No", TBL_ADD_04_Qs_All[[#This Row],[Section]]="IntSV", TBL_ADD_04_Qs_All[[#This Row],[Question / Sub-question]]="Not used"), "-", "")</f>
        <v>-</v>
      </c>
      <c r="F95" s="427" t="str">
        <f>IF(OR(TBL_ADD_04_Qs_All[[#This Row],[Required?]]="No", TBL_ADD_04_Qs_All[[#This Row],[Section]]="IntSV", TBL_ADD_04_Qs_All[[#This Row],[Question / Sub-question]]="Not used"), "-", IF(TBL_ADD_04_Qs_All[[#This Row],[Type]]="Question", TBL_ADD_04_Qs_All[[#This Row],[No.subs]]*500, "-"))</f>
        <v>-</v>
      </c>
      <c r="G9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5" s="426" t="str">
        <f t="array" ref="I9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5" s="424" t="s">
        <v>332</v>
      </c>
      <c r="K95" s="426" t="s">
        <v>261</v>
      </c>
      <c r="L95" s="428" t="s">
        <v>572</v>
      </c>
      <c r="M95" s="426" t="s">
        <v>2159</v>
      </c>
      <c r="N9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6" spans="1:15">
      <c r="A96" s="424" t="str">
        <f>IF(TBL_ADD_04_Qs_All[[#This Row],[Type]]="Question", K97, IF(TBL_ADD_04_Qs_All[[#This Row],[Sub_No]]="N/A", "-", CONCATENATE(TBL_ADD_04_Qs_All[[#This Row],[Q_No]], TBL_ADD_04_Qs_All[[#This Row],[Sub_No]])))</f>
        <v>Q6.9.3</v>
      </c>
      <c r="B96" s="424" t="s">
        <v>152</v>
      </c>
      <c r="C9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6" s="426" t="str">
        <f>IF(OR(TBL_ADD_04_Qs_All[[#This Row],[Type]]="Overview", TBL_ADD_04_Qs_All[[#This Row],[Type]]="Sub-question", TBL_ADD_04_Qs_All[[#This Row],[Required?]]="No", TBL_ADD_04_Qs_All[[#This Row],[Section]]="IntSV", TBL_ADD_04_Qs_All[[#This Row],[Question / Sub-question]]="Not used"), "-", "")</f>
        <v>-</v>
      </c>
      <c r="E96" s="425" t="str">
        <f>IF(OR(TBL_ADD_04_Qs_All[[#This Row],[Type]]="Overview", TBL_ADD_04_Qs_All[[#This Row],[Type]]="Sub-question", TBL_ADD_04_Qs_All[[#This Row],[Required?]]="No", TBL_ADD_04_Qs_All[[#This Row],[Section]]="IntSV", TBL_ADD_04_Qs_All[[#This Row],[Question / Sub-question]]="Not used"), "-", "")</f>
        <v>-</v>
      </c>
      <c r="F96" s="427" t="str">
        <f>IF(OR(TBL_ADD_04_Qs_All[[#This Row],[Required?]]="No", TBL_ADD_04_Qs_All[[#This Row],[Section]]="IntSV", TBL_ADD_04_Qs_All[[#This Row],[Question / Sub-question]]="Not used"), "-", IF(TBL_ADD_04_Qs_All[[#This Row],[Type]]="Question", TBL_ADD_04_Qs_All[[#This Row],[No.subs]]*500, "-"))</f>
        <v>-</v>
      </c>
      <c r="G9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6" s="426" t="str">
        <f t="array" ref="I9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6" s="424" t="s">
        <v>332</v>
      </c>
      <c r="K96" s="426" t="s">
        <v>261</v>
      </c>
      <c r="L96" s="428" t="s">
        <v>569</v>
      </c>
      <c r="M96" s="426" t="s">
        <v>2159</v>
      </c>
      <c r="N9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7" spans="1:15">
      <c r="A97" s="424" t="str">
        <f>IF(TBL_ADD_04_Qs_All[[#This Row],[Type]]="Question", K98, IF(TBL_ADD_04_Qs_All[[#This Row],[Sub_No]]="N/A", "-", CONCATENATE(TBL_ADD_04_Qs_All[[#This Row],[Q_No]], TBL_ADD_04_Qs_All[[#This Row],[Sub_No]])))</f>
        <v>Q6.9.4</v>
      </c>
      <c r="B97" s="424" t="s">
        <v>152</v>
      </c>
      <c r="C9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7" s="426" t="str">
        <f>IF(OR(TBL_ADD_04_Qs_All[[#This Row],[Type]]="Overview", TBL_ADD_04_Qs_All[[#This Row],[Type]]="Sub-question", TBL_ADD_04_Qs_All[[#This Row],[Required?]]="No", TBL_ADD_04_Qs_All[[#This Row],[Section]]="IntSV", TBL_ADD_04_Qs_All[[#This Row],[Question / Sub-question]]="Not used"), "-", "")</f>
        <v>-</v>
      </c>
      <c r="E97" s="425" t="str">
        <f>IF(OR(TBL_ADD_04_Qs_All[[#This Row],[Type]]="Overview", TBL_ADD_04_Qs_All[[#This Row],[Type]]="Sub-question", TBL_ADD_04_Qs_All[[#This Row],[Required?]]="No", TBL_ADD_04_Qs_All[[#This Row],[Section]]="IntSV", TBL_ADD_04_Qs_All[[#This Row],[Question / Sub-question]]="Not used"), "-", "")</f>
        <v>-</v>
      </c>
      <c r="F97" s="427" t="str">
        <f>IF(OR(TBL_ADD_04_Qs_All[[#This Row],[Required?]]="No", TBL_ADD_04_Qs_All[[#This Row],[Section]]="IntSV", TBL_ADD_04_Qs_All[[#This Row],[Question / Sub-question]]="Not used"), "-", IF(TBL_ADD_04_Qs_All[[#This Row],[Type]]="Question", TBL_ADD_04_Qs_All[[#This Row],[No.subs]]*500, "-"))</f>
        <v>-</v>
      </c>
      <c r="G9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7" s="426" t="str">
        <f t="array" ref="I9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7" s="424" t="s">
        <v>332</v>
      </c>
      <c r="K97" s="426" t="s">
        <v>261</v>
      </c>
      <c r="L97" s="428" t="s">
        <v>570</v>
      </c>
      <c r="M97" s="426" t="s">
        <v>2159</v>
      </c>
      <c r="N9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8" spans="1:15">
      <c r="A98" s="424" t="str">
        <f>IF(TBL_ADD_04_Qs_All[[#This Row],[Type]]="Question", K99, IF(TBL_ADD_04_Qs_All[[#This Row],[Sub_No]]="N/A", "-", CONCATENATE(TBL_ADD_04_Qs_All[[#This Row],[Q_No]], TBL_ADD_04_Qs_All[[#This Row],[Sub_No]])))</f>
        <v>Q6.9.5</v>
      </c>
      <c r="B98" s="424" t="s">
        <v>152</v>
      </c>
      <c r="C9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8" s="426" t="str">
        <f>IF(OR(TBL_ADD_04_Qs_All[[#This Row],[Type]]="Overview", TBL_ADD_04_Qs_All[[#This Row],[Type]]="Sub-question", TBL_ADD_04_Qs_All[[#This Row],[Required?]]="No", TBL_ADD_04_Qs_All[[#This Row],[Section]]="IntSV", TBL_ADD_04_Qs_All[[#This Row],[Question / Sub-question]]="Not used"), "-", "")</f>
        <v>-</v>
      </c>
      <c r="E98" s="425" t="str">
        <f>IF(OR(TBL_ADD_04_Qs_All[[#This Row],[Type]]="Overview", TBL_ADD_04_Qs_All[[#This Row],[Type]]="Sub-question", TBL_ADD_04_Qs_All[[#This Row],[Required?]]="No", TBL_ADD_04_Qs_All[[#This Row],[Section]]="IntSV", TBL_ADD_04_Qs_All[[#This Row],[Question / Sub-question]]="Not used"), "-", "")</f>
        <v>-</v>
      </c>
      <c r="F98" s="427" t="str">
        <f>IF(OR(TBL_ADD_04_Qs_All[[#This Row],[Required?]]="No", TBL_ADD_04_Qs_All[[#This Row],[Section]]="IntSV", TBL_ADD_04_Qs_All[[#This Row],[Question / Sub-question]]="Not used"), "-", IF(TBL_ADD_04_Qs_All[[#This Row],[Type]]="Question", TBL_ADD_04_Qs_All[[#This Row],[No.subs]]*500, "-"))</f>
        <v>-</v>
      </c>
      <c r="G9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8" s="426" t="str">
        <f t="array" ref="I9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8" s="424" t="s">
        <v>332</v>
      </c>
      <c r="K98" s="426" t="s">
        <v>261</v>
      </c>
      <c r="L98" s="428" t="s">
        <v>571</v>
      </c>
      <c r="M98" s="426" t="s">
        <v>2159</v>
      </c>
      <c r="N9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99" spans="1:15">
      <c r="A99" s="424" t="str">
        <f>IF(TBL_ADD_04_Qs_All[[#This Row],[Type]]="Question", K100, IF(TBL_ADD_04_Qs_All[[#This Row],[Sub_No]]="N/A", "-", CONCATENATE(TBL_ADD_04_Qs_All[[#This Row],[Q_No]], TBL_ADD_04_Qs_All[[#This Row],[Sub_No]])))</f>
        <v>Q6.9.6</v>
      </c>
      <c r="B99" s="424" t="s">
        <v>152</v>
      </c>
      <c r="C9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99" s="426" t="str">
        <f>IF(OR(TBL_ADD_04_Qs_All[[#This Row],[Type]]="Overview", TBL_ADD_04_Qs_All[[#This Row],[Type]]="Sub-question", TBL_ADD_04_Qs_All[[#This Row],[Required?]]="No", TBL_ADD_04_Qs_All[[#This Row],[Section]]="IntSV", TBL_ADD_04_Qs_All[[#This Row],[Question / Sub-question]]="Not used"), "-", "")</f>
        <v>-</v>
      </c>
      <c r="E99" s="425" t="str">
        <f>IF(OR(TBL_ADD_04_Qs_All[[#This Row],[Type]]="Overview", TBL_ADD_04_Qs_All[[#This Row],[Type]]="Sub-question", TBL_ADD_04_Qs_All[[#This Row],[Required?]]="No", TBL_ADD_04_Qs_All[[#This Row],[Section]]="IntSV", TBL_ADD_04_Qs_All[[#This Row],[Question / Sub-question]]="Not used"), "-", "")</f>
        <v>-</v>
      </c>
      <c r="F99" s="427" t="str">
        <f>IF(OR(TBL_ADD_04_Qs_All[[#This Row],[Required?]]="No", TBL_ADD_04_Qs_All[[#This Row],[Section]]="IntSV", TBL_ADD_04_Qs_All[[#This Row],[Question / Sub-question]]="Not used"), "-", IF(TBL_ADD_04_Qs_All[[#This Row],[Type]]="Question", TBL_ADD_04_Qs_All[[#This Row],[No.subs]]*500, "-"))</f>
        <v>-</v>
      </c>
      <c r="G9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9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99" s="426" t="str">
        <f t="array" ref="I9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99" s="424" t="s">
        <v>332</v>
      </c>
      <c r="K99" s="426" t="s">
        <v>261</v>
      </c>
      <c r="L99" s="428" t="s">
        <v>573</v>
      </c>
      <c r="M99" s="426" t="s">
        <v>2159</v>
      </c>
      <c r="N9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9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0" spans="1:15">
      <c r="A100" s="424" t="str">
        <f>IF(TBL_ADD_04_Qs_All[[#This Row],[Type]]="Question", K101, IF(TBL_ADD_04_Qs_All[[#This Row],[Sub_No]]="N/A", "-", CONCATENATE(TBL_ADD_04_Qs_All[[#This Row],[Q_No]], TBL_ADD_04_Qs_All[[#This Row],[Sub_No]])))</f>
        <v>Q6.9.7</v>
      </c>
      <c r="B100" s="424" t="s">
        <v>152</v>
      </c>
      <c r="C10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0" s="426" t="str">
        <f>IF(OR(TBL_ADD_04_Qs_All[[#This Row],[Type]]="Overview", TBL_ADD_04_Qs_All[[#This Row],[Type]]="Sub-question", TBL_ADD_04_Qs_All[[#This Row],[Required?]]="No", TBL_ADD_04_Qs_All[[#This Row],[Section]]="IntSV", TBL_ADD_04_Qs_All[[#This Row],[Question / Sub-question]]="Not used"), "-", "")</f>
        <v>-</v>
      </c>
      <c r="E100" s="425" t="str">
        <f>IF(OR(TBL_ADD_04_Qs_All[[#This Row],[Type]]="Overview", TBL_ADD_04_Qs_All[[#This Row],[Type]]="Sub-question", TBL_ADD_04_Qs_All[[#This Row],[Required?]]="No", TBL_ADD_04_Qs_All[[#This Row],[Section]]="IntSV", TBL_ADD_04_Qs_All[[#This Row],[Question / Sub-question]]="Not used"), "-", "")</f>
        <v>-</v>
      </c>
      <c r="F100" s="427" t="str">
        <f>IF(OR(TBL_ADD_04_Qs_All[[#This Row],[Required?]]="No", TBL_ADD_04_Qs_All[[#This Row],[Section]]="IntSV", TBL_ADD_04_Qs_All[[#This Row],[Question / Sub-question]]="Not used"), "-", IF(TBL_ADD_04_Qs_All[[#This Row],[Type]]="Question", TBL_ADD_04_Qs_All[[#This Row],[No.subs]]*500, "-"))</f>
        <v>-</v>
      </c>
      <c r="G10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0" s="426" t="str">
        <f t="array" ref="I10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0" s="424" t="s">
        <v>332</v>
      </c>
      <c r="K100" s="426" t="s">
        <v>261</v>
      </c>
      <c r="L100" s="428" t="s">
        <v>574</v>
      </c>
      <c r="M100" s="426" t="s">
        <v>2159</v>
      </c>
      <c r="N10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1" spans="1:15">
      <c r="A101" s="424" t="str">
        <f>IF(TBL_ADD_04_Qs_All[[#This Row],[Type]]="Question", K102, IF(TBL_ADD_04_Qs_All[[#This Row],[Sub_No]]="N/A", "-", CONCATENATE(TBL_ADD_04_Qs_All[[#This Row],[Q_No]], TBL_ADD_04_Qs_All[[#This Row],[Sub_No]])))</f>
        <v>Q6.9.8</v>
      </c>
      <c r="B101" s="424" t="s">
        <v>152</v>
      </c>
      <c r="C10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1" s="426" t="str">
        <f>IF(OR(TBL_ADD_04_Qs_All[[#This Row],[Type]]="Overview", TBL_ADD_04_Qs_All[[#This Row],[Type]]="Sub-question", TBL_ADD_04_Qs_All[[#This Row],[Required?]]="No", TBL_ADD_04_Qs_All[[#This Row],[Section]]="IntSV", TBL_ADD_04_Qs_All[[#This Row],[Question / Sub-question]]="Not used"), "-", "")</f>
        <v>-</v>
      </c>
      <c r="E101" s="425" t="str">
        <f>IF(OR(TBL_ADD_04_Qs_All[[#This Row],[Type]]="Overview", TBL_ADD_04_Qs_All[[#This Row],[Type]]="Sub-question", TBL_ADD_04_Qs_All[[#This Row],[Required?]]="No", TBL_ADD_04_Qs_All[[#This Row],[Section]]="IntSV", TBL_ADD_04_Qs_All[[#This Row],[Question / Sub-question]]="Not used"), "-", "")</f>
        <v>-</v>
      </c>
      <c r="F101" s="427" t="str">
        <f>IF(OR(TBL_ADD_04_Qs_All[[#This Row],[Required?]]="No", TBL_ADD_04_Qs_All[[#This Row],[Section]]="IntSV", TBL_ADD_04_Qs_All[[#This Row],[Question / Sub-question]]="Not used"), "-", IF(TBL_ADD_04_Qs_All[[#This Row],[Type]]="Question", TBL_ADD_04_Qs_All[[#This Row],[No.subs]]*500, "-"))</f>
        <v>-</v>
      </c>
      <c r="G10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1" s="426" t="str">
        <f t="array" ref="I10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1" s="424" t="s">
        <v>332</v>
      </c>
      <c r="K101" s="426" t="s">
        <v>261</v>
      </c>
      <c r="L101" s="428" t="s">
        <v>575</v>
      </c>
      <c r="M101" s="426" t="s">
        <v>2159</v>
      </c>
      <c r="N10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2" spans="1:15">
      <c r="A102" s="424" t="str">
        <f>IF(TBL_ADD_04_Qs_All[[#This Row],[Type]]="Question", K103, IF(TBL_ADD_04_Qs_All[[#This Row],[Sub_No]]="N/A", "-", CONCATENATE(TBL_ADD_04_Qs_All[[#This Row],[Q_No]], TBL_ADD_04_Qs_All[[#This Row],[Sub_No]])))</f>
        <v>Q6.9.9</v>
      </c>
      <c r="B102" s="424" t="s">
        <v>152</v>
      </c>
      <c r="C10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2" s="426" t="str">
        <f>IF(OR(TBL_ADD_04_Qs_All[[#This Row],[Type]]="Overview", TBL_ADD_04_Qs_All[[#This Row],[Type]]="Sub-question", TBL_ADD_04_Qs_All[[#This Row],[Required?]]="No", TBL_ADD_04_Qs_All[[#This Row],[Section]]="IntSV", TBL_ADD_04_Qs_All[[#This Row],[Question / Sub-question]]="Not used"), "-", "")</f>
        <v>-</v>
      </c>
      <c r="E102" s="425" t="str">
        <f>IF(OR(TBL_ADD_04_Qs_All[[#This Row],[Type]]="Overview", TBL_ADD_04_Qs_All[[#This Row],[Type]]="Sub-question", TBL_ADD_04_Qs_All[[#This Row],[Required?]]="No", TBL_ADD_04_Qs_All[[#This Row],[Section]]="IntSV", TBL_ADD_04_Qs_All[[#This Row],[Question / Sub-question]]="Not used"), "-", "")</f>
        <v>-</v>
      </c>
      <c r="F102" s="427" t="str">
        <f>IF(OR(TBL_ADD_04_Qs_All[[#This Row],[Required?]]="No", TBL_ADD_04_Qs_All[[#This Row],[Section]]="IntSV", TBL_ADD_04_Qs_All[[#This Row],[Question / Sub-question]]="Not used"), "-", IF(TBL_ADD_04_Qs_All[[#This Row],[Type]]="Question", TBL_ADD_04_Qs_All[[#This Row],[No.subs]]*500, "-"))</f>
        <v>-</v>
      </c>
      <c r="G10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2" s="426" t="str">
        <f t="array" ref="I10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2" s="424" t="s">
        <v>332</v>
      </c>
      <c r="K102" s="426" t="s">
        <v>261</v>
      </c>
      <c r="L102" s="428" t="s">
        <v>576</v>
      </c>
      <c r="M102" s="426" t="s">
        <v>2159</v>
      </c>
      <c r="N10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3" spans="1:15">
      <c r="A103" s="424" t="str">
        <f>IF(TBL_ADD_04_Qs_All[[#This Row],[Type]]="Question", K104, IF(TBL_ADD_04_Qs_All[[#This Row],[Sub_No]]="N/A", "-", CONCATENATE(TBL_ADD_04_Qs_All[[#This Row],[Q_No]], TBL_ADD_04_Qs_All[[#This Row],[Sub_No]])))</f>
        <v>Q6.9.10</v>
      </c>
      <c r="B103" s="424" t="s">
        <v>152</v>
      </c>
      <c r="C10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3" s="426" t="str">
        <f>IF(OR(TBL_ADD_04_Qs_All[[#This Row],[Type]]="Overview", TBL_ADD_04_Qs_All[[#This Row],[Type]]="Sub-question", TBL_ADD_04_Qs_All[[#This Row],[Required?]]="No", TBL_ADD_04_Qs_All[[#This Row],[Section]]="IntSV", TBL_ADD_04_Qs_All[[#This Row],[Question / Sub-question]]="Not used"), "-", "")</f>
        <v>-</v>
      </c>
      <c r="E103" s="425" t="str">
        <f>IF(OR(TBL_ADD_04_Qs_All[[#This Row],[Type]]="Overview", TBL_ADD_04_Qs_All[[#This Row],[Type]]="Sub-question", TBL_ADD_04_Qs_All[[#This Row],[Required?]]="No", TBL_ADD_04_Qs_All[[#This Row],[Section]]="IntSV", TBL_ADD_04_Qs_All[[#This Row],[Question / Sub-question]]="Not used"), "-", "")</f>
        <v>-</v>
      </c>
      <c r="F103" s="427" t="str">
        <f>IF(OR(TBL_ADD_04_Qs_All[[#This Row],[Required?]]="No", TBL_ADD_04_Qs_All[[#This Row],[Section]]="IntSV", TBL_ADD_04_Qs_All[[#This Row],[Question / Sub-question]]="Not used"), "-", IF(TBL_ADD_04_Qs_All[[#This Row],[Type]]="Question", TBL_ADD_04_Qs_All[[#This Row],[No.subs]]*500, "-"))</f>
        <v>-</v>
      </c>
      <c r="G10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3" s="426" t="str">
        <f t="array" ref="I10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3" s="424" t="s">
        <v>332</v>
      </c>
      <c r="K103" s="426" t="s">
        <v>261</v>
      </c>
      <c r="L103" s="428" t="s">
        <v>577</v>
      </c>
      <c r="M103" s="426" t="s">
        <v>2159</v>
      </c>
      <c r="N10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4" spans="1:15" ht="13">
      <c r="A104" s="424" t="str">
        <f>IF(TBL_ADD_04_Qs_All[[#This Row],[Type]]="Question", K105, IF(TBL_ADD_04_Qs_All[[#This Row],[Sub_No]]="N/A", "-", CONCATENATE(TBL_ADD_04_Qs_All[[#This Row],[Q_No]], TBL_ADD_04_Qs_All[[#This Row],[Sub_No]])))</f>
        <v>Q6.10</v>
      </c>
      <c r="B104" s="424" t="s">
        <v>152</v>
      </c>
      <c r="C10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04" s="426" t="str">
        <f>IF(OR(TBL_ADD_04_Qs_All[[#This Row],[Type]]="Overview", TBL_ADD_04_Qs_All[[#This Row],[Type]]="Sub-question", TBL_ADD_04_Qs_All[[#This Row],[Required?]]="No", TBL_ADD_04_Qs_All[[#This Row],[Section]]="IntSV", TBL_ADD_04_Qs_All[[#This Row],[Question / Sub-question]]="Not used"), "-", "")</f>
        <v>-</v>
      </c>
      <c r="E104" s="425" t="str">
        <f>IF(OR(TBL_ADD_04_Qs_All[[#This Row],[Type]]="Overview", TBL_ADD_04_Qs_All[[#This Row],[Type]]="Sub-question", TBL_ADD_04_Qs_All[[#This Row],[Required?]]="No", TBL_ADD_04_Qs_All[[#This Row],[Section]]="IntSV", TBL_ADD_04_Qs_All[[#This Row],[Question / Sub-question]]="Not used"), "-", "")</f>
        <v>-</v>
      </c>
      <c r="F104" s="427" t="str">
        <f>IF(OR(TBL_ADD_04_Qs_All[[#This Row],[Required?]]="No", TBL_ADD_04_Qs_All[[#This Row],[Section]]="IntSV", TBL_ADD_04_Qs_All[[#This Row],[Question / Sub-question]]="Not used"), "-", IF(TBL_ADD_04_Qs_All[[#This Row],[Type]]="Question", TBL_ADD_04_Qs_All[[#This Row],[No.subs]]*500, "-"))</f>
        <v>-</v>
      </c>
      <c r="G10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104"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04" s="426">
        <f t="array" ref="I10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04" s="424" t="s">
        <v>146</v>
      </c>
      <c r="K104" s="426" t="s">
        <v>24</v>
      </c>
      <c r="L104" s="426" t="s">
        <v>24</v>
      </c>
      <c r="M104" s="426" t="s">
        <v>2159</v>
      </c>
      <c r="N10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5" spans="1:15">
      <c r="A105" s="424" t="str">
        <f>IF(TBL_ADD_04_Qs_All[[#This Row],[Type]]="Question", K106, IF(TBL_ADD_04_Qs_All[[#This Row],[Sub_No]]="N/A", "-", CONCATENATE(TBL_ADD_04_Qs_All[[#This Row],[Q_No]], TBL_ADD_04_Qs_All[[#This Row],[Sub_No]])))</f>
        <v>Q6.10.1</v>
      </c>
      <c r="B105" s="424" t="s">
        <v>152</v>
      </c>
      <c r="C10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5" s="426" t="str">
        <f>IF(OR(TBL_ADD_04_Qs_All[[#This Row],[Type]]="Overview", TBL_ADD_04_Qs_All[[#This Row],[Type]]="Sub-question", TBL_ADD_04_Qs_All[[#This Row],[Required?]]="No", TBL_ADD_04_Qs_All[[#This Row],[Section]]="IntSV", TBL_ADD_04_Qs_All[[#This Row],[Question / Sub-question]]="Not used"), "-", "")</f>
        <v>-</v>
      </c>
      <c r="E105" s="425" t="str">
        <f>IF(OR(TBL_ADD_04_Qs_All[[#This Row],[Type]]="Overview", TBL_ADD_04_Qs_All[[#This Row],[Type]]="Sub-question", TBL_ADD_04_Qs_All[[#This Row],[Required?]]="No", TBL_ADD_04_Qs_All[[#This Row],[Section]]="IntSV", TBL_ADD_04_Qs_All[[#This Row],[Question / Sub-question]]="Not used"), "-", "")</f>
        <v>-</v>
      </c>
      <c r="F105" s="427" t="str">
        <f>IF(OR(TBL_ADD_04_Qs_All[[#This Row],[Required?]]="No", TBL_ADD_04_Qs_All[[#This Row],[Section]]="IntSV", TBL_ADD_04_Qs_All[[#This Row],[Question / Sub-question]]="Not used"), "-", IF(TBL_ADD_04_Qs_All[[#This Row],[Type]]="Question", TBL_ADD_04_Qs_All[[#This Row],[No.subs]]*500, "-"))</f>
        <v>-</v>
      </c>
      <c r="G10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5" s="426" t="str">
        <f t="array" ref="I10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5" s="424" t="s">
        <v>332</v>
      </c>
      <c r="K105" s="426" t="s">
        <v>272</v>
      </c>
      <c r="L105" s="428" t="s">
        <v>568</v>
      </c>
      <c r="M105" s="426" t="s">
        <v>2159</v>
      </c>
      <c r="N10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6" spans="1:15">
      <c r="A106" s="424" t="str">
        <f>IF(TBL_ADD_04_Qs_All[[#This Row],[Type]]="Question", K107, IF(TBL_ADD_04_Qs_All[[#This Row],[Sub_No]]="N/A", "-", CONCATENATE(TBL_ADD_04_Qs_All[[#This Row],[Q_No]], TBL_ADD_04_Qs_All[[#This Row],[Sub_No]])))</f>
        <v>Q6.10.2</v>
      </c>
      <c r="B106" s="424" t="s">
        <v>152</v>
      </c>
      <c r="C10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6" s="426" t="str">
        <f>IF(OR(TBL_ADD_04_Qs_All[[#This Row],[Type]]="Overview", TBL_ADD_04_Qs_All[[#This Row],[Type]]="Sub-question", TBL_ADD_04_Qs_All[[#This Row],[Required?]]="No", TBL_ADD_04_Qs_All[[#This Row],[Section]]="IntSV", TBL_ADD_04_Qs_All[[#This Row],[Question / Sub-question]]="Not used"), "-", "")</f>
        <v>-</v>
      </c>
      <c r="E106" s="425" t="str">
        <f>IF(OR(TBL_ADD_04_Qs_All[[#This Row],[Type]]="Overview", TBL_ADD_04_Qs_All[[#This Row],[Type]]="Sub-question", TBL_ADD_04_Qs_All[[#This Row],[Required?]]="No", TBL_ADD_04_Qs_All[[#This Row],[Section]]="IntSV", TBL_ADD_04_Qs_All[[#This Row],[Question / Sub-question]]="Not used"), "-", "")</f>
        <v>-</v>
      </c>
      <c r="F106" s="427" t="str">
        <f>IF(OR(TBL_ADD_04_Qs_All[[#This Row],[Required?]]="No", TBL_ADD_04_Qs_All[[#This Row],[Section]]="IntSV", TBL_ADD_04_Qs_All[[#This Row],[Question / Sub-question]]="Not used"), "-", IF(TBL_ADD_04_Qs_All[[#This Row],[Type]]="Question", TBL_ADD_04_Qs_All[[#This Row],[No.subs]]*500, "-"))</f>
        <v>-</v>
      </c>
      <c r="G10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6" s="426" t="str">
        <f t="array" ref="I10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6" s="424" t="s">
        <v>332</v>
      </c>
      <c r="K106" s="426" t="s">
        <v>272</v>
      </c>
      <c r="L106" s="428" t="s">
        <v>572</v>
      </c>
      <c r="M106" s="426" t="s">
        <v>2159</v>
      </c>
      <c r="N10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7" spans="1:15">
      <c r="A107" s="424" t="str">
        <f>IF(TBL_ADD_04_Qs_All[[#This Row],[Type]]="Question", K108, IF(TBL_ADD_04_Qs_All[[#This Row],[Sub_No]]="N/A", "-", CONCATENATE(TBL_ADD_04_Qs_All[[#This Row],[Q_No]], TBL_ADD_04_Qs_All[[#This Row],[Sub_No]])))</f>
        <v>Q6.10.3</v>
      </c>
      <c r="B107" s="424" t="s">
        <v>152</v>
      </c>
      <c r="C10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7" s="426" t="str">
        <f>IF(OR(TBL_ADD_04_Qs_All[[#This Row],[Type]]="Overview", TBL_ADD_04_Qs_All[[#This Row],[Type]]="Sub-question", TBL_ADD_04_Qs_All[[#This Row],[Required?]]="No", TBL_ADD_04_Qs_All[[#This Row],[Section]]="IntSV", TBL_ADD_04_Qs_All[[#This Row],[Question / Sub-question]]="Not used"), "-", "")</f>
        <v>-</v>
      </c>
      <c r="E107" s="425" t="str">
        <f>IF(OR(TBL_ADD_04_Qs_All[[#This Row],[Type]]="Overview", TBL_ADD_04_Qs_All[[#This Row],[Type]]="Sub-question", TBL_ADD_04_Qs_All[[#This Row],[Required?]]="No", TBL_ADD_04_Qs_All[[#This Row],[Section]]="IntSV", TBL_ADD_04_Qs_All[[#This Row],[Question / Sub-question]]="Not used"), "-", "")</f>
        <v>-</v>
      </c>
      <c r="F107" s="427" t="str">
        <f>IF(OR(TBL_ADD_04_Qs_All[[#This Row],[Required?]]="No", TBL_ADD_04_Qs_All[[#This Row],[Section]]="IntSV", TBL_ADD_04_Qs_All[[#This Row],[Question / Sub-question]]="Not used"), "-", IF(TBL_ADD_04_Qs_All[[#This Row],[Type]]="Question", TBL_ADD_04_Qs_All[[#This Row],[No.subs]]*500, "-"))</f>
        <v>-</v>
      </c>
      <c r="G10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7" s="426" t="str">
        <f t="array" ref="I10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7" s="424" t="s">
        <v>332</v>
      </c>
      <c r="K107" s="426" t="s">
        <v>272</v>
      </c>
      <c r="L107" s="428" t="s">
        <v>569</v>
      </c>
      <c r="M107" s="426" t="s">
        <v>2159</v>
      </c>
      <c r="N10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8" spans="1:15">
      <c r="A108" s="424" t="str">
        <f>IF(TBL_ADD_04_Qs_All[[#This Row],[Type]]="Question", K109, IF(TBL_ADD_04_Qs_All[[#This Row],[Sub_No]]="N/A", "-", CONCATENATE(TBL_ADD_04_Qs_All[[#This Row],[Q_No]], TBL_ADD_04_Qs_All[[#This Row],[Sub_No]])))</f>
        <v>Q6.10.4</v>
      </c>
      <c r="B108" s="424" t="s">
        <v>152</v>
      </c>
      <c r="C10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8" s="426" t="str">
        <f>IF(OR(TBL_ADD_04_Qs_All[[#This Row],[Type]]="Overview", TBL_ADD_04_Qs_All[[#This Row],[Type]]="Sub-question", TBL_ADD_04_Qs_All[[#This Row],[Required?]]="No", TBL_ADD_04_Qs_All[[#This Row],[Section]]="IntSV", TBL_ADD_04_Qs_All[[#This Row],[Question / Sub-question]]="Not used"), "-", "")</f>
        <v>-</v>
      </c>
      <c r="E108" s="425" t="str">
        <f>IF(OR(TBL_ADD_04_Qs_All[[#This Row],[Type]]="Overview", TBL_ADD_04_Qs_All[[#This Row],[Type]]="Sub-question", TBL_ADD_04_Qs_All[[#This Row],[Required?]]="No", TBL_ADD_04_Qs_All[[#This Row],[Section]]="IntSV", TBL_ADD_04_Qs_All[[#This Row],[Question / Sub-question]]="Not used"), "-", "")</f>
        <v>-</v>
      </c>
      <c r="F108" s="427" t="str">
        <f>IF(OR(TBL_ADD_04_Qs_All[[#This Row],[Required?]]="No", TBL_ADD_04_Qs_All[[#This Row],[Section]]="IntSV", TBL_ADD_04_Qs_All[[#This Row],[Question / Sub-question]]="Not used"), "-", IF(TBL_ADD_04_Qs_All[[#This Row],[Type]]="Question", TBL_ADD_04_Qs_All[[#This Row],[No.subs]]*500, "-"))</f>
        <v>-</v>
      </c>
      <c r="G10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8" s="426" t="str">
        <f t="array" ref="I10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8" s="424" t="s">
        <v>332</v>
      </c>
      <c r="K108" s="426" t="s">
        <v>272</v>
      </c>
      <c r="L108" s="428" t="s">
        <v>570</v>
      </c>
      <c r="M108" s="426" t="s">
        <v>2159</v>
      </c>
      <c r="N10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09" spans="1:15">
      <c r="A109" s="424" t="str">
        <f>IF(TBL_ADD_04_Qs_All[[#This Row],[Type]]="Question", K110, IF(TBL_ADD_04_Qs_All[[#This Row],[Sub_No]]="N/A", "-", CONCATENATE(TBL_ADD_04_Qs_All[[#This Row],[Q_No]], TBL_ADD_04_Qs_All[[#This Row],[Sub_No]])))</f>
        <v>Q6.10.5</v>
      </c>
      <c r="B109" s="424" t="s">
        <v>152</v>
      </c>
      <c r="C10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09" s="426" t="str">
        <f>IF(OR(TBL_ADD_04_Qs_All[[#This Row],[Type]]="Overview", TBL_ADD_04_Qs_All[[#This Row],[Type]]="Sub-question", TBL_ADD_04_Qs_All[[#This Row],[Required?]]="No", TBL_ADD_04_Qs_All[[#This Row],[Section]]="IntSV", TBL_ADD_04_Qs_All[[#This Row],[Question / Sub-question]]="Not used"), "-", "")</f>
        <v>-</v>
      </c>
      <c r="E109" s="425" t="str">
        <f>IF(OR(TBL_ADD_04_Qs_All[[#This Row],[Type]]="Overview", TBL_ADD_04_Qs_All[[#This Row],[Type]]="Sub-question", TBL_ADD_04_Qs_All[[#This Row],[Required?]]="No", TBL_ADD_04_Qs_All[[#This Row],[Section]]="IntSV", TBL_ADD_04_Qs_All[[#This Row],[Question / Sub-question]]="Not used"), "-", "")</f>
        <v>-</v>
      </c>
      <c r="F109" s="427" t="str">
        <f>IF(OR(TBL_ADD_04_Qs_All[[#This Row],[Required?]]="No", TBL_ADD_04_Qs_All[[#This Row],[Section]]="IntSV", TBL_ADD_04_Qs_All[[#This Row],[Question / Sub-question]]="Not used"), "-", IF(TBL_ADD_04_Qs_All[[#This Row],[Type]]="Question", TBL_ADD_04_Qs_All[[#This Row],[No.subs]]*500, "-"))</f>
        <v>-</v>
      </c>
      <c r="G10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0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09" s="426" t="str">
        <f t="array" ref="I10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09" s="424" t="s">
        <v>332</v>
      </c>
      <c r="K109" s="426" t="s">
        <v>272</v>
      </c>
      <c r="L109" s="428" t="s">
        <v>571</v>
      </c>
      <c r="M109" s="426" t="s">
        <v>2159</v>
      </c>
      <c r="N10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0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0" spans="1:15">
      <c r="A110" s="424" t="str">
        <f>IF(TBL_ADD_04_Qs_All[[#This Row],[Type]]="Question", K111, IF(TBL_ADD_04_Qs_All[[#This Row],[Sub_No]]="N/A", "-", CONCATENATE(TBL_ADD_04_Qs_All[[#This Row],[Q_No]], TBL_ADD_04_Qs_All[[#This Row],[Sub_No]])))</f>
        <v>Q6.10.6</v>
      </c>
      <c r="B110" s="424" t="s">
        <v>152</v>
      </c>
      <c r="C11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0" s="426" t="str">
        <f>IF(OR(TBL_ADD_04_Qs_All[[#This Row],[Type]]="Overview", TBL_ADD_04_Qs_All[[#This Row],[Type]]="Sub-question", TBL_ADD_04_Qs_All[[#This Row],[Required?]]="No", TBL_ADD_04_Qs_All[[#This Row],[Section]]="IntSV", TBL_ADD_04_Qs_All[[#This Row],[Question / Sub-question]]="Not used"), "-", "")</f>
        <v>-</v>
      </c>
      <c r="E110" s="425" t="str">
        <f>IF(OR(TBL_ADD_04_Qs_All[[#This Row],[Type]]="Overview", TBL_ADD_04_Qs_All[[#This Row],[Type]]="Sub-question", TBL_ADD_04_Qs_All[[#This Row],[Required?]]="No", TBL_ADD_04_Qs_All[[#This Row],[Section]]="IntSV", TBL_ADD_04_Qs_All[[#This Row],[Question / Sub-question]]="Not used"), "-", "")</f>
        <v>-</v>
      </c>
      <c r="F110" s="427" t="str">
        <f>IF(OR(TBL_ADD_04_Qs_All[[#This Row],[Required?]]="No", TBL_ADD_04_Qs_All[[#This Row],[Section]]="IntSV", TBL_ADD_04_Qs_All[[#This Row],[Question / Sub-question]]="Not used"), "-", IF(TBL_ADD_04_Qs_All[[#This Row],[Type]]="Question", TBL_ADD_04_Qs_All[[#This Row],[No.subs]]*500, "-"))</f>
        <v>-</v>
      </c>
      <c r="G11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0" s="426" t="str">
        <f t="array" ref="I11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0" s="424" t="s">
        <v>332</v>
      </c>
      <c r="K110" s="426" t="s">
        <v>272</v>
      </c>
      <c r="L110" s="428" t="s">
        <v>573</v>
      </c>
      <c r="M110" s="426" t="s">
        <v>2159</v>
      </c>
      <c r="N11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1" spans="1:15">
      <c r="A111" s="424" t="str">
        <f>IF(TBL_ADD_04_Qs_All[[#This Row],[Type]]="Question", K112, IF(TBL_ADD_04_Qs_All[[#This Row],[Sub_No]]="N/A", "-", CONCATENATE(TBL_ADD_04_Qs_All[[#This Row],[Q_No]], TBL_ADD_04_Qs_All[[#This Row],[Sub_No]])))</f>
        <v>Q6.10.7</v>
      </c>
      <c r="B111" s="424" t="s">
        <v>152</v>
      </c>
      <c r="C11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1" s="426" t="str">
        <f>IF(OR(TBL_ADD_04_Qs_All[[#This Row],[Type]]="Overview", TBL_ADD_04_Qs_All[[#This Row],[Type]]="Sub-question", TBL_ADD_04_Qs_All[[#This Row],[Required?]]="No", TBL_ADD_04_Qs_All[[#This Row],[Section]]="IntSV", TBL_ADD_04_Qs_All[[#This Row],[Question / Sub-question]]="Not used"), "-", "")</f>
        <v>-</v>
      </c>
      <c r="E111" s="425" t="str">
        <f>IF(OR(TBL_ADD_04_Qs_All[[#This Row],[Type]]="Overview", TBL_ADD_04_Qs_All[[#This Row],[Type]]="Sub-question", TBL_ADD_04_Qs_All[[#This Row],[Required?]]="No", TBL_ADD_04_Qs_All[[#This Row],[Section]]="IntSV", TBL_ADD_04_Qs_All[[#This Row],[Question / Sub-question]]="Not used"), "-", "")</f>
        <v>-</v>
      </c>
      <c r="F111" s="427" t="str">
        <f>IF(OR(TBL_ADD_04_Qs_All[[#This Row],[Required?]]="No", TBL_ADD_04_Qs_All[[#This Row],[Section]]="IntSV", TBL_ADD_04_Qs_All[[#This Row],[Question / Sub-question]]="Not used"), "-", IF(TBL_ADD_04_Qs_All[[#This Row],[Type]]="Question", TBL_ADD_04_Qs_All[[#This Row],[No.subs]]*500, "-"))</f>
        <v>-</v>
      </c>
      <c r="G11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1" s="426" t="str">
        <f t="array" ref="I11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1" s="424" t="s">
        <v>332</v>
      </c>
      <c r="K111" s="426" t="s">
        <v>272</v>
      </c>
      <c r="L111" s="428" t="s">
        <v>574</v>
      </c>
      <c r="M111" s="426" t="s">
        <v>2159</v>
      </c>
      <c r="N11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2" spans="1:15">
      <c r="A112" s="424" t="str">
        <f>IF(TBL_ADD_04_Qs_All[[#This Row],[Type]]="Question", K113, IF(TBL_ADD_04_Qs_All[[#This Row],[Sub_No]]="N/A", "-", CONCATENATE(TBL_ADD_04_Qs_All[[#This Row],[Q_No]], TBL_ADD_04_Qs_All[[#This Row],[Sub_No]])))</f>
        <v>Q6.10.8</v>
      </c>
      <c r="B112" s="424" t="s">
        <v>152</v>
      </c>
      <c r="C11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2" s="426" t="str">
        <f>IF(OR(TBL_ADD_04_Qs_All[[#This Row],[Type]]="Overview", TBL_ADD_04_Qs_All[[#This Row],[Type]]="Sub-question", TBL_ADD_04_Qs_All[[#This Row],[Required?]]="No", TBL_ADD_04_Qs_All[[#This Row],[Section]]="IntSV", TBL_ADD_04_Qs_All[[#This Row],[Question / Sub-question]]="Not used"), "-", "")</f>
        <v>-</v>
      </c>
      <c r="E112" s="425" t="str">
        <f>IF(OR(TBL_ADD_04_Qs_All[[#This Row],[Type]]="Overview", TBL_ADD_04_Qs_All[[#This Row],[Type]]="Sub-question", TBL_ADD_04_Qs_All[[#This Row],[Required?]]="No", TBL_ADD_04_Qs_All[[#This Row],[Section]]="IntSV", TBL_ADD_04_Qs_All[[#This Row],[Question / Sub-question]]="Not used"), "-", "")</f>
        <v>-</v>
      </c>
      <c r="F112" s="427" t="str">
        <f>IF(OR(TBL_ADD_04_Qs_All[[#This Row],[Required?]]="No", TBL_ADD_04_Qs_All[[#This Row],[Section]]="IntSV", TBL_ADD_04_Qs_All[[#This Row],[Question / Sub-question]]="Not used"), "-", IF(TBL_ADD_04_Qs_All[[#This Row],[Type]]="Question", TBL_ADD_04_Qs_All[[#This Row],[No.subs]]*500, "-"))</f>
        <v>-</v>
      </c>
      <c r="G11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2" s="426" t="str">
        <f t="array" ref="I11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2" s="424" t="s">
        <v>332</v>
      </c>
      <c r="K112" s="426" t="s">
        <v>272</v>
      </c>
      <c r="L112" s="428" t="s">
        <v>575</v>
      </c>
      <c r="M112" s="426" t="s">
        <v>2159</v>
      </c>
      <c r="N11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3" spans="1:15">
      <c r="A113" s="424" t="str">
        <f>IF(TBL_ADD_04_Qs_All[[#This Row],[Type]]="Question", K114, IF(TBL_ADD_04_Qs_All[[#This Row],[Sub_No]]="N/A", "-", CONCATENATE(TBL_ADD_04_Qs_All[[#This Row],[Q_No]], TBL_ADD_04_Qs_All[[#This Row],[Sub_No]])))</f>
        <v>Q6.10.9</v>
      </c>
      <c r="B113" s="424" t="s">
        <v>152</v>
      </c>
      <c r="C11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3" s="426" t="str">
        <f>IF(OR(TBL_ADD_04_Qs_All[[#This Row],[Type]]="Overview", TBL_ADD_04_Qs_All[[#This Row],[Type]]="Sub-question", TBL_ADD_04_Qs_All[[#This Row],[Required?]]="No", TBL_ADD_04_Qs_All[[#This Row],[Section]]="IntSV", TBL_ADD_04_Qs_All[[#This Row],[Question / Sub-question]]="Not used"), "-", "")</f>
        <v>-</v>
      </c>
      <c r="E113" s="425" t="str">
        <f>IF(OR(TBL_ADD_04_Qs_All[[#This Row],[Type]]="Overview", TBL_ADD_04_Qs_All[[#This Row],[Type]]="Sub-question", TBL_ADD_04_Qs_All[[#This Row],[Required?]]="No", TBL_ADD_04_Qs_All[[#This Row],[Section]]="IntSV", TBL_ADD_04_Qs_All[[#This Row],[Question / Sub-question]]="Not used"), "-", "")</f>
        <v>-</v>
      </c>
      <c r="F113" s="427" t="str">
        <f>IF(OR(TBL_ADD_04_Qs_All[[#This Row],[Required?]]="No", TBL_ADD_04_Qs_All[[#This Row],[Section]]="IntSV", TBL_ADD_04_Qs_All[[#This Row],[Question / Sub-question]]="Not used"), "-", IF(TBL_ADD_04_Qs_All[[#This Row],[Type]]="Question", TBL_ADD_04_Qs_All[[#This Row],[No.subs]]*500, "-"))</f>
        <v>-</v>
      </c>
      <c r="G11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3" s="426" t="str">
        <f t="array" ref="I11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3" s="424" t="s">
        <v>332</v>
      </c>
      <c r="K113" s="426" t="s">
        <v>272</v>
      </c>
      <c r="L113" s="428" t="s">
        <v>576</v>
      </c>
      <c r="M113" s="426" t="s">
        <v>2159</v>
      </c>
      <c r="N11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4" spans="1:15">
      <c r="A114" s="424" t="str">
        <f>IF(TBL_ADD_04_Qs_All[[#This Row],[Type]]="Question", K115, IF(TBL_ADD_04_Qs_All[[#This Row],[Sub_No]]="N/A", "-", CONCATENATE(TBL_ADD_04_Qs_All[[#This Row],[Q_No]], TBL_ADD_04_Qs_All[[#This Row],[Sub_No]])))</f>
        <v>Q6.10.10</v>
      </c>
      <c r="B114" s="424" t="s">
        <v>152</v>
      </c>
      <c r="C11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4" s="426" t="str">
        <f>IF(OR(TBL_ADD_04_Qs_All[[#This Row],[Type]]="Overview", TBL_ADD_04_Qs_All[[#This Row],[Type]]="Sub-question", TBL_ADD_04_Qs_All[[#This Row],[Required?]]="No", TBL_ADD_04_Qs_All[[#This Row],[Section]]="IntSV", TBL_ADD_04_Qs_All[[#This Row],[Question / Sub-question]]="Not used"), "-", "")</f>
        <v>-</v>
      </c>
      <c r="E114" s="425" t="str">
        <f>IF(OR(TBL_ADD_04_Qs_All[[#This Row],[Type]]="Overview", TBL_ADD_04_Qs_All[[#This Row],[Type]]="Sub-question", TBL_ADD_04_Qs_All[[#This Row],[Required?]]="No", TBL_ADD_04_Qs_All[[#This Row],[Section]]="IntSV", TBL_ADD_04_Qs_All[[#This Row],[Question / Sub-question]]="Not used"), "-", "")</f>
        <v>-</v>
      </c>
      <c r="F114" s="427" t="str">
        <f>IF(OR(TBL_ADD_04_Qs_All[[#This Row],[Required?]]="No", TBL_ADD_04_Qs_All[[#This Row],[Section]]="IntSV", TBL_ADD_04_Qs_All[[#This Row],[Question / Sub-question]]="Not used"), "-", IF(TBL_ADD_04_Qs_All[[#This Row],[Type]]="Question", TBL_ADD_04_Qs_All[[#This Row],[No.subs]]*500, "-"))</f>
        <v>-</v>
      </c>
      <c r="G11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4" s="426" t="str">
        <f t="array" ref="I11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4" s="424" t="s">
        <v>332</v>
      </c>
      <c r="K114" s="426" t="s">
        <v>272</v>
      </c>
      <c r="L114" s="428" t="s">
        <v>577</v>
      </c>
      <c r="M114" s="426" t="s">
        <v>2159</v>
      </c>
      <c r="N11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5" spans="1:15" ht="13">
      <c r="A115" s="424" t="str">
        <f>IF(TBL_ADD_04_Qs_All[[#This Row],[Type]]="Question", K116, IF(TBL_ADD_04_Qs_All[[#This Row],[Sub_No]]="N/A", "-", CONCATENATE(TBL_ADD_04_Qs_All[[#This Row],[Q_No]], TBL_ADD_04_Qs_All[[#This Row],[Sub_No]])))</f>
        <v>Q6.11</v>
      </c>
      <c r="B115" s="424" t="s">
        <v>152</v>
      </c>
      <c r="C11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15" s="426" t="str">
        <f>IF(OR(TBL_ADD_04_Qs_All[[#This Row],[Type]]="Overview", TBL_ADD_04_Qs_All[[#This Row],[Type]]="Sub-question", TBL_ADD_04_Qs_All[[#This Row],[Required?]]="No", TBL_ADD_04_Qs_All[[#This Row],[Section]]="IntSV", TBL_ADD_04_Qs_All[[#This Row],[Question / Sub-question]]="Not used"), "-", "")</f>
        <v>-</v>
      </c>
      <c r="E115" s="425" t="str">
        <f>IF(OR(TBL_ADD_04_Qs_All[[#This Row],[Type]]="Overview", TBL_ADD_04_Qs_All[[#This Row],[Type]]="Sub-question", TBL_ADD_04_Qs_All[[#This Row],[Required?]]="No", TBL_ADD_04_Qs_All[[#This Row],[Section]]="IntSV", TBL_ADD_04_Qs_All[[#This Row],[Question / Sub-question]]="Not used"), "-", "")</f>
        <v>-</v>
      </c>
      <c r="F115" s="427" t="str">
        <f>IF(OR(TBL_ADD_04_Qs_All[[#This Row],[Required?]]="No", TBL_ADD_04_Qs_All[[#This Row],[Section]]="IntSV", TBL_ADD_04_Qs_All[[#This Row],[Question / Sub-question]]="Not used"), "-", IF(TBL_ADD_04_Qs_All[[#This Row],[Type]]="Question", TBL_ADD_04_Qs_All[[#This Row],[No.subs]]*500, "-"))</f>
        <v>-</v>
      </c>
      <c r="G11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115"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15" s="426">
        <f t="array" ref="I11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15" s="424" t="s">
        <v>146</v>
      </c>
      <c r="K115" s="426" t="s">
        <v>24</v>
      </c>
      <c r="L115" s="426" t="s">
        <v>24</v>
      </c>
      <c r="M115" s="426" t="s">
        <v>2159</v>
      </c>
      <c r="N11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6" spans="1:15">
      <c r="A116" s="424" t="str">
        <f>IF(TBL_ADD_04_Qs_All[[#This Row],[Type]]="Question", K117, IF(TBL_ADD_04_Qs_All[[#This Row],[Sub_No]]="N/A", "-", CONCATENATE(TBL_ADD_04_Qs_All[[#This Row],[Q_No]], TBL_ADD_04_Qs_All[[#This Row],[Sub_No]])))</f>
        <v>Q6.11.1</v>
      </c>
      <c r="B116" s="424" t="s">
        <v>152</v>
      </c>
      <c r="C11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6" s="426" t="str">
        <f>IF(OR(TBL_ADD_04_Qs_All[[#This Row],[Type]]="Overview", TBL_ADD_04_Qs_All[[#This Row],[Type]]="Sub-question", TBL_ADD_04_Qs_All[[#This Row],[Required?]]="No", TBL_ADD_04_Qs_All[[#This Row],[Section]]="IntSV", TBL_ADD_04_Qs_All[[#This Row],[Question / Sub-question]]="Not used"), "-", "")</f>
        <v>-</v>
      </c>
      <c r="E116" s="425" t="str">
        <f>IF(OR(TBL_ADD_04_Qs_All[[#This Row],[Type]]="Overview", TBL_ADD_04_Qs_All[[#This Row],[Type]]="Sub-question", TBL_ADD_04_Qs_All[[#This Row],[Required?]]="No", TBL_ADD_04_Qs_All[[#This Row],[Section]]="IntSV", TBL_ADD_04_Qs_All[[#This Row],[Question / Sub-question]]="Not used"), "-", "")</f>
        <v>-</v>
      </c>
      <c r="F116" s="427" t="str">
        <f>IF(OR(TBL_ADD_04_Qs_All[[#This Row],[Required?]]="No", TBL_ADD_04_Qs_All[[#This Row],[Section]]="IntSV", TBL_ADD_04_Qs_All[[#This Row],[Question / Sub-question]]="Not used"), "-", IF(TBL_ADD_04_Qs_All[[#This Row],[Type]]="Question", TBL_ADD_04_Qs_All[[#This Row],[No.subs]]*500, "-"))</f>
        <v>-</v>
      </c>
      <c r="G11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6" s="426" t="str">
        <f t="array" ref="I11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6" s="424" t="s">
        <v>332</v>
      </c>
      <c r="K116" s="426" t="s">
        <v>283</v>
      </c>
      <c r="L116" s="428" t="s">
        <v>568</v>
      </c>
      <c r="M116" s="426" t="s">
        <v>2159</v>
      </c>
      <c r="N11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7" spans="1:15">
      <c r="A117" s="424" t="str">
        <f>IF(TBL_ADD_04_Qs_All[[#This Row],[Type]]="Question", K118, IF(TBL_ADD_04_Qs_All[[#This Row],[Sub_No]]="N/A", "-", CONCATENATE(TBL_ADD_04_Qs_All[[#This Row],[Q_No]], TBL_ADD_04_Qs_All[[#This Row],[Sub_No]])))</f>
        <v>Q6.11.2</v>
      </c>
      <c r="B117" s="424" t="s">
        <v>152</v>
      </c>
      <c r="C11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7" s="426" t="str">
        <f>IF(OR(TBL_ADD_04_Qs_All[[#This Row],[Type]]="Overview", TBL_ADD_04_Qs_All[[#This Row],[Type]]="Sub-question", TBL_ADD_04_Qs_All[[#This Row],[Required?]]="No", TBL_ADD_04_Qs_All[[#This Row],[Section]]="IntSV", TBL_ADD_04_Qs_All[[#This Row],[Question / Sub-question]]="Not used"), "-", "")</f>
        <v>-</v>
      </c>
      <c r="E117" s="425" t="str">
        <f>IF(OR(TBL_ADD_04_Qs_All[[#This Row],[Type]]="Overview", TBL_ADD_04_Qs_All[[#This Row],[Type]]="Sub-question", TBL_ADD_04_Qs_All[[#This Row],[Required?]]="No", TBL_ADD_04_Qs_All[[#This Row],[Section]]="IntSV", TBL_ADD_04_Qs_All[[#This Row],[Question / Sub-question]]="Not used"), "-", "")</f>
        <v>-</v>
      </c>
      <c r="F117" s="427" t="str">
        <f>IF(OR(TBL_ADD_04_Qs_All[[#This Row],[Required?]]="No", TBL_ADD_04_Qs_All[[#This Row],[Section]]="IntSV", TBL_ADD_04_Qs_All[[#This Row],[Question / Sub-question]]="Not used"), "-", IF(TBL_ADD_04_Qs_All[[#This Row],[Type]]="Question", TBL_ADD_04_Qs_All[[#This Row],[No.subs]]*500, "-"))</f>
        <v>-</v>
      </c>
      <c r="G11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7" s="426" t="str">
        <f t="array" ref="I11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7" s="424" t="s">
        <v>332</v>
      </c>
      <c r="K117" s="426" t="s">
        <v>283</v>
      </c>
      <c r="L117" s="428" t="s">
        <v>572</v>
      </c>
      <c r="M117" s="426" t="s">
        <v>2159</v>
      </c>
      <c r="N11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8" spans="1:15">
      <c r="A118" s="424" t="str">
        <f>IF(TBL_ADD_04_Qs_All[[#This Row],[Type]]="Question", K119, IF(TBL_ADD_04_Qs_All[[#This Row],[Sub_No]]="N/A", "-", CONCATENATE(TBL_ADD_04_Qs_All[[#This Row],[Q_No]], TBL_ADD_04_Qs_All[[#This Row],[Sub_No]])))</f>
        <v>Q6.11.3</v>
      </c>
      <c r="B118" s="424" t="s">
        <v>152</v>
      </c>
      <c r="C11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8" s="426" t="str">
        <f>IF(OR(TBL_ADD_04_Qs_All[[#This Row],[Type]]="Overview", TBL_ADD_04_Qs_All[[#This Row],[Type]]="Sub-question", TBL_ADD_04_Qs_All[[#This Row],[Required?]]="No", TBL_ADD_04_Qs_All[[#This Row],[Section]]="IntSV", TBL_ADD_04_Qs_All[[#This Row],[Question / Sub-question]]="Not used"), "-", "")</f>
        <v>-</v>
      </c>
      <c r="E118" s="425" t="str">
        <f>IF(OR(TBL_ADD_04_Qs_All[[#This Row],[Type]]="Overview", TBL_ADD_04_Qs_All[[#This Row],[Type]]="Sub-question", TBL_ADD_04_Qs_All[[#This Row],[Required?]]="No", TBL_ADD_04_Qs_All[[#This Row],[Section]]="IntSV", TBL_ADD_04_Qs_All[[#This Row],[Question / Sub-question]]="Not used"), "-", "")</f>
        <v>-</v>
      </c>
      <c r="F118" s="427" t="str">
        <f>IF(OR(TBL_ADD_04_Qs_All[[#This Row],[Required?]]="No", TBL_ADD_04_Qs_All[[#This Row],[Section]]="IntSV", TBL_ADD_04_Qs_All[[#This Row],[Question / Sub-question]]="Not used"), "-", IF(TBL_ADD_04_Qs_All[[#This Row],[Type]]="Question", TBL_ADD_04_Qs_All[[#This Row],[No.subs]]*500, "-"))</f>
        <v>-</v>
      </c>
      <c r="G11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8" s="426" t="str">
        <f t="array" ref="I11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8" s="424" t="s">
        <v>332</v>
      </c>
      <c r="K118" s="426" t="s">
        <v>283</v>
      </c>
      <c r="L118" s="428" t="s">
        <v>569</v>
      </c>
      <c r="M118" s="426" t="s">
        <v>2159</v>
      </c>
      <c r="N11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19" spans="1:15">
      <c r="A119" s="424" t="str">
        <f>IF(TBL_ADD_04_Qs_All[[#This Row],[Type]]="Question", K120, IF(TBL_ADD_04_Qs_All[[#This Row],[Sub_No]]="N/A", "-", CONCATENATE(TBL_ADD_04_Qs_All[[#This Row],[Q_No]], TBL_ADD_04_Qs_All[[#This Row],[Sub_No]])))</f>
        <v>Q6.11.4</v>
      </c>
      <c r="B119" s="424" t="s">
        <v>152</v>
      </c>
      <c r="C11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19" s="426" t="str">
        <f>IF(OR(TBL_ADD_04_Qs_All[[#This Row],[Type]]="Overview", TBL_ADD_04_Qs_All[[#This Row],[Type]]="Sub-question", TBL_ADD_04_Qs_All[[#This Row],[Required?]]="No", TBL_ADD_04_Qs_All[[#This Row],[Section]]="IntSV", TBL_ADD_04_Qs_All[[#This Row],[Question / Sub-question]]="Not used"), "-", "")</f>
        <v>-</v>
      </c>
      <c r="E119" s="425" t="str">
        <f>IF(OR(TBL_ADD_04_Qs_All[[#This Row],[Type]]="Overview", TBL_ADD_04_Qs_All[[#This Row],[Type]]="Sub-question", TBL_ADD_04_Qs_All[[#This Row],[Required?]]="No", TBL_ADD_04_Qs_All[[#This Row],[Section]]="IntSV", TBL_ADD_04_Qs_All[[#This Row],[Question / Sub-question]]="Not used"), "-", "")</f>
        <v>-</v>
      </c>
      <c r="F119" s="427" t="str">
        <f>IF(OR(TBL_ADD_04_Qs_All[[#This Row],[Required?]]="No", TBL_ADD_04_Qs_All[[#This Row],[Section]]="IntSV", TBL_ADD_04_Qs_All[[#This Row],[Question / Sub-question]]="Not used"), "-", IF(TBL_ADD_04_Qs_All[[#This Row],[Type]]="Question", TBL_ADD_04_Qs_All[[#This Row],[No.subs]]*500, "-"))</f>
        <v>-</v>
      </c>
      <c r="G11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1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19" s="426" t="str">
        <f t="array" ref="I11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19" s="424" t="s">
        <v>332</v>
      </c>
      <c r="K119" s="426" t="s">
        <v>283</v>
      </c>
      <c r="L119" s="428" t="s">
        <v>570</v>
      </c>
      <c r="M119" s="426" t="s">
        <v>2159</v>
      </c>
      <c r="N11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1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0" spans="1:15">
      <c r="A120" s="424" t="str">
        <f>IF(TBL_ADD_04_Qs_All[[#This Row],[Type]]="Question", K121, IF(TBL_ADD_04_Qs_All[[#This Row],[Sub_No]]="N/A", "-", CONCATENATE(TBL_ADD_04_Qs_All[[#This Row],[Q_No]], TBL_ADD_04_Qs_All[[#This Row],[Sub_No]])))</f>
        <v>Q6.11.5</v>
      </c>
      <c r="B120" s="424" t="s">
        <v>152</v>
      </c>
      <c r="C12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0" s="426" t="str">
        <f>IF(OR(TBL_ADD_04_Qs_All[[#This Row],[Type]]="Overview", TBL_ADD_04_Qs_All[[#This Row],[Type]]="Sub-question", TBL_ADD_04_Qs_All[[#This Row],[Required?]]="No", TBL_ADD_04_Qs_All[[#This Row],[Section]]="IntSV", TBL_ADD_04_Qs_All[[#This Row],[Question / Sub-question]]="Not used"), "-", "")</f>
        <v>-</v>
      </c>
      <c r="E120" s="425" t="str">
        <f>IF(OR(TBL_ADD_04_Qs_All[[#This Row],[Type]]="Overview", TBL_ADD_04_Qs_All[[#This Row],[Type]]="Sub-question", TBL_ADD_04_Qs_All[[#This Row],[Required?]]="No", TBL_ADD_04_Qs_All[[#This Row],[Section]]="IntSV", TBL_ADD_04_Qs_All[[#This Row],[Question / Sub-question]]="Not used"), "-", "")</f>
        <v>-</v>
      </c>
      <c r="F120" s="427" t="str">
        <f>IF(OR(TBL_ADD_04_Qs_All[[#This Row],[Required?]]="No", TBL_ADD_04_Qs_All[[#This Row],[Section]]="IntSV", TBL_ADD_04_Qs_All[[#This Row],[Question / Sub-question]]="Not used"), "-", IF(TBL_ADD_04_Qs_All[[#This Row],[Type]]="Question", TBL_ADD_04_Qs_All[[#This Row],[No.subs]]*500, "-"))</f>
        <v>-</v>
      </c>
      <c r="G12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0" s="426" t="str">
        <f t="array" ref="I12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0" s="424" t="s">
        <v>332</v>
      </c>
      <c r="K120" s="426" t="s">
        <v>283</v>
      </c>
      <c r="L120" s="428" t="s">
        <v>571</v>
      </c>
      <c r="M120" s="426" t="s">
        <v>2159</v>
      </c>
      <c r="N12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1" spans="1:15">
      <c r="A121" s="424" t="str">
        <f>IF(TBL_ADD_04_Qs_All[[#This Row],[Type]]="Question", K122, IF(TBL_ADD_04_Qs_All[[#This Row],[Sub_No]]="N/A", "-", CONCATENATE(TBL_ADD_04_Qs_All[[#This Row],[Q_No]], TBL_ADD_04_Qs_All[[#This Row],[Sub_No]])))</f>
        <v>Q6.11.6</v>
      </c>
      <c r="B121" s="424" t="s">
        <v>152</v>
      </c>
      <c r="C12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1" s="426" t="str">
        <f>IF(OR(TBL_ADD_04_Qs_All[[#This Row],[Type]]="Overview", TBL_ADD_04_Qs_All[[#This Row],[Type]]="Sub-question", TBL_ADD_04_Qs_All[[#This Row],[Required?]]="No", TBL_ADD_04_Qs_All[[#This Row],[Section]]="IntSV", TBL_ADD_04_Qs_All[[#This Row],[Question / Sub-question]]="Not used"), "-", "")</f>
        <v>-</v>
      </c>
      <c r="E121" s="425" t="str">
        <f>IF(OR(TBL_ADD_04_Qs_All[[#This Row],[Type]]="Overview", TBL_ADD_04_Qs_All[[#This Row],[Type]]="Sub-question", TBL_ADD_04_Qs_All[[#This Row],[Required?]]="No", TBL_ADD_04_Qs_All[[#This Row],[Section]]="IntSV", TBL_ADD_04_Qs_All[[#This Row],[Question / Sub-question]]="Not used"), "-", "")</f>
        <v>-</v>
      </c>
      <c r="F121" s="427" t="str">
        <f>IF(OR(TBL_ADD_04_Qs_All[[#This Row],[Required?]]="No", TBL_ADD_04_Qs_All[[#This Row],[Section]]="IntSV", TBL_ADD_04_Qs_All[[#This Row],[Question / Sub-question]]="Not used"), "-", IF(TBL_ADD_04_Qs_All[[#This Row],[Type]]="Question", TBL_ADD_04_Qs_All[[#This Row],[No.subs]]*500, "-"))</f>
        <v>-</v>
      </c>
      <c r="G12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1" s="426" t="str">
        <f t="array" ref="I12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1" s="424" t="s">
        <v>332</v>
      </c>
      <c r="K121" s="426" t="s">
        <v>283</v>
      </c>
      <c r="L121" s="428" t="s">
        <v>573</v>
      </c>
      <c r="M121" s="426" t="s">
        <v>2159</v>
      </c>
      <c r="N12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2" spans="1:15">
      <c r="A122" s="424" t="str">
        <f>IF(TBL_ADD_04_Qs_All[[#This Row],[Type]]="Question", K123, IF(TBL_ADD_04_Qs_All[[#This Row],[Sub_No]]="N/A", "-", CONCATENATE(TBL_ADD_04_Qs_All[[#This Row],[Q_No]], TBL_ADD_04_Qs_All[[#This Row],[Sub_No]])))</f>
        <v>Q6.11.7</v>
      </c>
      <c r="B122" s="424" t="s">
        <v>152</v>
      </c>
      <c r="C12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2" s="426" t="str">
        <f>IF(OR(TBL_ADD_04_Qs_All[[#This Row],[Type]]="Overview", TBL_ADD_04_Qs_All[[#This Row],[Type]]="Sub-question", TBL_ADD_04_Qs_All[[#This Row],[Required?]]="No", TBL_ADD_04_Qs_All[[#This Row],[Section]]="IntSV", TBL_ADD_04_Qs_All[[#This Row],[Question / Sub-question]]="Not used"), "-", "")</f>
        <v>-</v>
      </c>
      <c r="E122" s="425" t="str">
        <f>IF(OR(TBL_ADD_04_Qs_All[[#This Row],[Type]]="Overview", TBL_ADD_04_Qs_All[[#This Row],[Type]]="Sub-question", TBL_ADD_04_Qs_All[[#This Row],[Required?]]="No", TBL_ADD_04_Qs_All[[#This Row],[Section]]="IntSV", TBL_ADD_04_Qs_All[[#This Row],[Question / Sub-question]]="Not used"), "-", "")</f>
        <v>-</v>
      </c>
      <c r="F122" s="427" t="str">
        <f>IF(OR(TBL_ADD_04_Qs_All[[#This Row],[Required?]]="No", TBL_ADD_04_Qs_All[[#This Row],[Section]]="IntSV", TBL_ADD_04_Qs_All[[#This Row],[Question / Sub-question]]="Not used"), "-", IF(TBL_ADD_04_Qs_All[[#This Row],[Type]]="Question", TBL_ADD_04_Qs_All[[#This Row],[No.subs]]*500, "-"))</f>
        <v>-</v>
      </c>
      <c r="G12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2" s="426" t="str">
        <f t="array" ref="I12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2" s="424" t="s">
        <v>332</v>
      </c>
      <c r="K122" s="426" t="s">
        <v>283</v>
      </c>
      <c r="L122" s="428" t="s">
        <v>574</v>
      </c>
      <c r="M122" s="426" t="s">
        <v>2159</v>
      </c>
      <c r="N12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3" spans="1:15">
      <c r="A123" s="424" t="str">
        <f>IF(TBL_ADD_04_Qs_All[[#This Row],[Type]]="Question", K124, IF(TBL_ADD_04_Qs_All[[#This Row],[Sub_No]]="N/A", "-", CONCATENATE(TBL_ADD_04_Qs_All[[#This Row],[Q_No]], TBL_ADD_04_Qs_All[[#This Row],[Sub_No]])))</f>
        <v>Q6.11.8</v>
      </c>
      <c r="B123" s="424" t="s">
        <v>152</v>
      </c>
      <c r="C12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3" s="426" t="str">
        <f>IF(OR(TBL_ADD_04_Qs_All[[#This Row],[Type]]="Overview", TBL_ADD_04_Qs_All[[#This Row],[Type]]="Sub-question", TBL_ADD_04_Qs_All[[#This Row],[Required?]]="No", TBL_ADD_04_Qs_All[[#This Row],[Section]]="IntSV", TBL_ADD_04_Qs_All[[#This Row],[Question / Sub-question]]="Not used"), "-", "")</f>
        <v>-</v>
      </c>
      <c r="E123" s="425" t="str">
        <f>IF(OR(TBL_ADD_04_Qs_All[[#This Row],[Type]]="Overview", TBL_ADD_04_Qs_All[[#This Row],[Type]]="Sub-question", TBL_ADD_04_Qs_All[[#This Row],[Required?]]="No", TBL_ADD_04_Qs_All[[#This Row],[Section]]="IntSV", TBL_ADD_04_Qs_All[[#This Row],[Question / Sub-question]]="Not used"), "-", "")</f>
        <v>-</v>
      </c>
      <c r="F123" s="427" t="str">
        <f>IF(OR(TBL_ADD_04_Qs_All[[#This Row],[Required?]]="No", TBL_ADD_04_Qs_All[[#This Row],[Section]]="IntSV", TBL_ADD_04_Qs_All[[#This Row],[Question / Sub-question]]="Not used"), "-", IF(TBL_ADD_04_Qs_All[[#This Row],[Type]]="Question", TBL_ADD_04_Qs_All[[#This Row],[No.subs]]*500, "-"))</f>
        <v>-</v>
      </c>
      <c r="G12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3" s="426" t="str">
        <f t="array" ref="I12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3" s="424" t="s">
        <v>332</v>
      </c>
      <c r="K123" s="426" t="s">
        <v>283</v>
      </c>
      <c r="L123" s="428" t="s">
        <v>575</v>
      </c>
      <c r="M123" s="426" t="s">
        <v>2159</v>
      </c>
      <c r="N12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4" spans="1:15">
      <c r="A124" s="424" t="str">
        <f>IF(TBL_ADD_04_Qs_All[[#This Row],[Type]]="Question", K125, IF(TBL_ADD_04_Qs_All[[#This Row],[Sub_No]]="N/A", "-", CONCATENATE(TBL_ADD_04_Qs_All[[#This Row],[Q_No]], TBL_ADD_04_Qs_All[[#This Row],[Sub_No]])))</f>
        <v>Q6.11.9</v>
      </c>
      <c r="B124" s="424" t="s">
        <v>152</v>
      </c>
      <c r="C12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4" s="426" t="str">
        <f>IF(OR(TBL_ADD_04_Qs_All[[#This Row],[Type]]="Overview", TBL_ADD_04_Qs_All[[#This Row],[Type]]="Sub-question", TBL_ADD_04_Qs_All[[#This Row],[Required?]]="No", TBL_ADD_04_Qs_All[[#This Row],[Section]]="IntSV", TBL_ADD_04_Qs_All[[#This Row],[Question / Sub-question]]="Not used"), "-", "")</f>
        <v>-</v>
      </c>
      <c r="E124" s="425" t="str">
        <f>IF(OR(TBL_ADD_04_Qs_All[[#This Row],[Type]]="Overview", TBL_ADD_04_Qs_All[[#This Row],[Type]]="Sub-question", TBL_ADD_04_Qs_All[[#This Row],[Required?]]="No", TBL_ADD_04_Qs_All[[#This Row],[Section]]="IntSV", TBL_ADD_04_Qs_All[[#This Row],[Question / Sub-question]]="Not used"), "-", "")</f>
        <v>-</v>
      </c>
      <c r="F124" s="427" t="str">
        <f>IF(OR(TBL_ADD_04_Qs_All[[#This Row],[Required?]]="No", TBL_ADD_04_Qs_All[[#This Row],[Section]]="IntSV", TBL_ADD_04_Qs_All[[#This Row],[Question / Sub-question]]="Not used"), "-", IF(TBL_ADD_04_Qs_All[[#This Row],[Type]]="Question", TBL_ADD_04_Qs_All[[#This Row],[No.subs]]*500, "-"))</f>
        <v>-</v>
      </c>
      <c r="G12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4" s="426" t="str">
        <f t="array" ref="I12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4" s="424" t="s">
        <v>332</v>
      </c>
      <c r="K124" s="426" t="s">
        <v>283</v>
      </c>
      <c r="L124" s="428" t="s">
        <v>576</v>
      </c>
      <c r="M124" s="426" t="s">
        <v>2159</v>
      </c>
      <c r="N12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5" spans="1:15">
      <c r="A125" s="424" t="str">
        <f>IF(TBL_ADD_04_Qs_All[[#This Row],[Type]]="Question", K126, IF(TBL_ADD_04_Qs_All[[#This Row],[Sub_No]]="N/A", "-", CONCATENATE(TBL_ADD_04_Qs_All[[#This Row],[Q_No]], TBL_ADD_04_Qs_All[[#This Row],[Sub_No]])))</f>
        <v>Q6.11.10</v>
      </c>
      <c r="B125" s="424" t="s">
        <v>152</v>
      </c>
      <c r="C12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5" s="426" t="str">
        <f>IF(OR(TBL_ADD_04_Qs_All[[#This Row],[Type]]="Overview", TBL_ADD_04_Qs_All[[#This Row],[Type]]="Sub-question", TBL_ADD_04_Qs_All[[#This Row],[Required?]]="No", TBL_ADD_04_Qs_All[[#This Row],[Section]]="IntSV", TBL_ADD_04_Qs_All[[#This Row],[Question / Sub-question]]="Not used"), "-", "")</f>
        <v>-</v>
      </c>
      <c r="E125" s="425" t="str">
        <f>IF(OR(TBL_ADD_04_Qs_All[[#This Row],[Type]]="Overview", TBL_ADD_04_Qs_All[[#This Row],[Type]]="Sub-question", TBL_ADD_04_Qs_All[[#This Row],[Required?]]="No", TBL_ADD_04_Qs_All[[#This Row],[Section]]="IntSV", TBL_ADD_04_Qs_All[[#This Row],[Question / Sub-question]]="Not used"), "-", "")</f>
        <v>-</v>
      </c>
      <c r="F125" s="427" t="str">
        <f>IF(OR(TBL_ADD_04_Qs_All[[#This Row],[Required?]]="No", TBL_ADD_04_Qs_All[[#This Row],[Section]]="IntSV", TBL_ADD_04_Qs_All[[#This Row],[Question / Sub-question]]="Not used"), "-", IF(TBL_ADD_04_Qs_All[[#This Row],[Type]]="Question", TBL_ADD_04_Qs_All[[#This Row],[No.subs]]*500, "-"))</f>
        <v>-</v>
      </c>
      <c r="G12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5" s="426" t="str">
        <f t="array" ref="I12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5" s="424" t="s">
        <v>332</v>
      </c>
      <c r="K125" s="426" t="s">
        <v>283</v>
      </c>
      <c r="L125" s="428" t="s">
        <v>577</v>
      </c>
      <c r="M125" s="426" t="s">
        <v>2159</v>
      </c>
      <c r="N12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6" spans="1:15" ht="13">
      <c r="A126" s="424" t="str">
        <f>IF(TBL_ADD_04_Qs_All[[#This Row],[Type]]="Question", K127, IF(TBL_ADD_04_Qs_All[[#This Row],[Sub_No]]="N/A", "-", CONCATENATE(TBL_ADD_04_Qs_All[[#This Row],[Q_No]], TBL_ADD_04_Qs_All[[#This Row],[Sub_No]])))</f>
        <v>Q6.12</v>
      </c>
      <c r="B126" s="424" t="s">
        <v>152</v>
      </c>
      <c r="C12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26" s="426" t="str">
        <f>IF(OR(TBL_ADD_04_Qs_All[[#This Row],[Type]]="Overview", TBL_ADD_04_Qs_All[[#This Row],[Type]]="Sub-question", TBL_ADD_04_Qs_All[[#This Row],[Required?]]="No", TBL_ADD_04_Qs_All[[#This Row],[Section]]="IntSV", TBL_ADD_04_Qs_All[[#This Row],[Question / Sub-question]]="Not used"), "-", "")</f>
        <v>-</v>
      </c>
      <c r="E126" s="425" t="str">
        <f>IF(OR(TBL_ADD_04_Qs_All[[#This Row],[Type]]="Overview", TBL_ADD_04_Qs_All[[#This Row],[Type]]="Sub-question", TBL_ADD_04_Qs_All[[#This Row],[Required?]]="No", TBL_ADD_04_Qs_All[[#This Row],[Section]]="IntSV", TBL_ADD_04_Qs_All[[#This Row],[Question / Sub-question]]="Not used"), "-", "")</f>
        <v>-</v>
      </c>
      <c r="F126" s="427" t="str">
        <f>IF(OR(TBL_ADD_04_Qs_All[[#This Row],[Required?]]="No", TBL_ADD_04_Qs_All[[#This Row],[Section]]="IntSV", TBL_ADD_04_Qs_All[[#This Row],[Question / Sub-question]]="Not used"), "-", IF(TBL_ADD_04_Qs_All[[#This Row],[Type]]="Question", TBL_ADD_04_Qs_All[[#This Row],[No.subs]]*500, "-"))</f>
        <v>-</v>
      </c>
      <c r="G12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126"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26" s="426">
        <f t="array" ref="I12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26" s="424" t="s">
        <v>146</v>
      </c>
      <c r="K126" s="426" t="s">
        <v>24</v>
      </c>
      <c r="L126" s="426" t="s">
        <v>24</v>
      </c>
      <c r="M126" s="426" t="s">
        <v>2159</v>
      </c>
      <c r="N12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7" spans="1:15">
      <c r="A127" s="424" t="str">
        <f>IF(TBL_ADD_04_Qs_All[[#This Row],[Type]]="Question", K128, IF(TBL_ADD_04_Qs_All[[#This Row],[Sub_No]]="N/A", "-", CONCATENATE(TBL_ADD_04_Qs_All[[#This Row],[Q_No]], TBL_ADD_04_Qs_All[[#This Row],[Sub_No]])))</f>
        <v>Q6.12.1</v>
      </c>
      <c r="B127" s="424" t="s">
        <v>152</v>
      </c>
      <c r="C12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7" s="426" t="str">
        <f>IF(OR(TBL_ADD_04_Qs_All[[#This Row],[Type]]="Overview", TBL_ADD_04_Qs_All[[#This Row],[Type]]="Sub-question", TBL_ADD_04_Qs_All[[#This Row],[Required?]]="No", TBL_ADD_04_Qs_All[[#This Row],[Section]]="IntSV", TBL_ADD_04_Qs_All[[#This Row],[Question / Sub-question]]="Not used"), "-", "")</f>
        <v>-</v>
      </c>
      <c r="E127" s="425" t="str">
        <f>IF(OR(TBL_ADD_04_Qs_All[[#This Row],[Type]]="Overview", TBL_ADD_04_Qs_All[[#This Row],[Type]]="Sub-question", TBL_ADD_04_Qs_All[[#This Row],[Required?]]="No", TBL_ADD_04_Qs_All[[#This Row],[Section]]="IntSV", TBL_ADD_04_Qs_All[[#This Row],[Question / Sub-question]]="Not used"), "-", "")</f>
        <v>-</v>
      </c>
      <c r="F127" s="427" t="str">
        <f>IF(OR(TBL_ADD_04_Qs_All[[#This Row],[Required?]]="No", TBL_ADD_04_Qs_All[[#This Row],[Section]]="IntSV", TBL_ADD_04_Qs_All[[#This Row],[Question / Sub-question]]="Not used"), "-", IF(TBL_ADD_04_Qs_All[[#This Row],[Type]]="Question", TBL_ADD_04_Qs_All[[#This Row],[No.subs]]*500, "-"))</f>
        <v>-</v>
      </c>
      <c r="G12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7" s="426" t="str">
        <f t="array" ref="I12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7" s="424" t="s">
        <v>332</v>
      </c>
      <c r="K127" s="426" t="s">
        <v>294</v>
      </c>
      <c r="L127" s="428" t="s">
        <v>568</v>
      </c>
      <c r="M127" s="426" t="s">
        <v>2159</v>
      </c>
      <c r="N12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8" spans="1:15">
      <c r="A128" s="424" t="str">
        <f>IF(TBL_ADD_04_Qs_All[[#This Row],[Type]]="Question", K129, IF(TBL_ADD_04_Qs_All[[#This Row],[Sub_No]]="N/A", "-", CONCATENATE(TBL_ADD_04_Qs_All[[#This Row],[Q_No]], TBL_ADD_04_Qs_All[[#This Row],[Sub_No]])))</f>
        <v>Q6.12.2</v>
      </c>
      <c r="B128" s="424" t="s">
        <v>152</v>
      </c>
      <c r="C12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8" s="426" t="str">
        <f>IF(OR(TBL_ADD_04_Qs_All[[#This Row],[Type]]="Overview", TBL_ADD_04_Qs_All[[#This Row],[Type]]="Sub-question", TBL_ADD_04_Qs_All[[#This Row],[Required?]]="No", TBL_ADD_04_Qs_All[[#This Row],[Section]]="IntSV", TBL_ADD_04_Qs_All[[#This Row],[Question / Sub-question]]="Not used"), "-", "")</f>
        <v>-</v>
      </c>
      <c r="E128" s="425" t="str">
        <f>IF(OR(TBL_ADD_04_Qs_All[[#This Row],[Type]]="Overview", TBL_ADD_04_Qs_All[[#This Row],[Type]]="Sub-question", TBL_ADD_04_Qs_All[[#This Row],[Required?]]="No", TBL_ADD_04_Qs_All[[#This Row],[Section]]="IntSV", TBL_ADD_04_Qs_All[[#This Row],[Question / Sub-question]]="Not used"), "-", "")</f>
        <v>-</v>
      </c>
      <c r="F128" s="427" t="str">
        <f>IF(OR(TBL_ADD_04_Qs_All[[#This Row],[Required?]]="No", TBL_ADD_04_Qs_All[[#This Row],[Section]]="IntSV", TBL_ADD_04_Qs_All[[#This Row],[Question / Sub-question]]="Not used"), "-", IF(TBL_ADD_04_Qs_All[[#This Row],[Type]]="Question", TBL_ADD_04_Qs_All[[#This Row],[No.subs]]*500, "-"))</f>
        <v>-</v>
      </c>
      <c r="G12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8" s="426" t="str">
        <f t="array" ref="I12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8" s="424" t="s">
        <v>332</v>
      </c>
      <c r="K128" s="426" t="s">
        <v>294</v>
      </c>
      <c r="L128" s="428" t="s">
        <v>572</v>
      </c>
      <c r="M128" s="426" t="s">
        <v>2159</v>
      </c>
      <c r="N12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29" spans="1:15">
      <c r="A129" s="424" t="str">
        <f>IF(TBL_ADD_04_Qs_All[[#This Row],[Type]]="Question", K130, IF(TBL_ADD_04_Qs_All[[#This Row],[Sub_No]]="N/A", "-", CONCATENATE(TBL_ADD_04_Qs_All[[#This Row],[Q_No]], TBL_ADD_04_Qs_All[[#This Row],[Sub_No]])))</f>
        <v>Q6.12.3</v>
      </c>
      <c r="B129" s="424" t="s">
        <v>152</v>
      </c>
      <c r="C12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29" s="426" t="str">
        <f>IF(OR(TBL_ADD_04_Qs_All[[#This Row],[Type]]="Overview", TBL_ADD_04_Qs_All[[#This Row],[Type]]="Sub-question", TBL_ADD_04_Qs_All[[#This Row],[Required?]]="No", TBL_ADD_04_Qs_All[[#This Row],[Section]]="IntSV", TBL_ADD_04_Qs_All[[#This Row],[Question / Sub-question]]="Not used"), "-", "")</f>
        <v>-</v>
      </c>
      <c r="E129" s="425" t="str">
        <f>IF(OR(TBL_ADD_04_Qs_All[[#This Row],[Type]]="Overview", TBL_ADD_04_Qs_All[[#This Row],[Type]]="Sub-question", TBL_ADD_04_Qs_All[[#This Row],[Required?]]="No", TBL_ADD_04_Qs_All[[#This Row],[Section]]="IntSV", TBL_ADD_04_Qs_All[[#This Row],[Question / Sub-question]]="Not used"), "-", "")</f>
        <v>-</v>
      </c>
      <c r="F129" s="427" t="str">
        <f>IF(OR(TBL_ADD_04_Qs_All[[#This Row],[Required?]]="No", TBL_ADD_04_Qs_All[[#This Row],[Section]]="IntSV", TBL_ADD_04_Qs_All[[#This Row],[Question / Sub-question]]="Not used"), "-", IF(TBL_ADD_04_Qs_All[[#This Row],[Type]]="Question", TBL_ADD_04_Qs_All[[#This Row],[No.subs]]*500, "-"))</f>
        <v>-</v>
      </c>
      <c r="G12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2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29" s="426" t="str">
        <f t="array" ref="I12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29" s="424" t="s">
        <v>332</v>
      </c>
      <c r="K129" s="426" t="s">
        <v>294</v>
      </c>
      <c r="L129" s="428" t="s">
        <v>569</v>
      </c>
      <c r="M129" s="426" t="s">
        <v>2159</v>
      </c>
      <c r="N12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2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0" spans="1:15">
      <c r="A130" s="424" t="str">
        <f>IF(TBL_ADD_04_Qs_All[[#This Row],[Type]]="Question", K131, IF(TBL_ADD_04_Qs_All[[#This Row],[Sub_No]]="N/A", "-", CONCATENATE(TBL_ADD_04_Qs_All[[#This Row],[Q_No]], TBL_ADD_04_Qs_All[[#This Row],[Sub_No]])))</f>
        <v>Q6.12.4</v>
      </c>
      <c r="B130" s="424" t="s">
        <v>152</v>
      </c>
      <c r="C13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0" s="426" t="str">
        <f>IF(OR(TBL_ADD_04_Qs_All[[#This Row],[Type]]="Overview", TBL_ADD_04_Qs_All[[#This Row],[Type]]="Sub-question", TBL_ADD_04_Qs_All[[#This Row],[Required?]]="No", TBL_ADD_04_Qs_All[[#This Row],[Section]]="IntSV", TBL_ADD_04_Qs_All[[#This Row],[Question / Sub-question]]="Not used"), "-", "")</f>
        <v>-</v>
      </c>
      <c r="E130" s="425" t="str">
        <f>IF(OR(TBL_ADD_04_Qs_All[[#This Row],[Type]]="Overview", TBL_ADD_04_Qs_All[[#This Row],[Type]]="Sub-question", TBL_ADD_04_Qs_All[[#This Row],[Required?]]="No", TBL_ADD_04_Qs_All[[#This Row],[Section]]="IntSV", TBL_ADD_04_Qs_All[[#This Row],[Question / Sub-question]]="Not used"), "-", "")</f>
        <v>-</v>
      </c>
      <c r="F130" s="427" t="str">
        <f>IF(OR(TBL_ADD_04_Qs_All[[#This Row],[Required?]]="No", TBL_ADD_04_Qs_All[[#This Row],[Section]]="IntSV", TBL_ADD_04_Qs_All[[#This Row],[Question / Sub-question]]="Not used"), "-", IF(TBL_ADD_04_Qs_All[[#This Row],[Type]]="Question", TBL_ADD_04_Qs_All[[#This Row],[No.subs]]*500, "-"))</f>
        <v>-</v>
      </c>
      <c r="G13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0" s="426" t="str">
        <f t="array" ref="I13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0" s="424" t="s">
        <v>332</v>
      </c>
      <c r="K130" s="426" t="s">
        <v>294</v>
      </c>
      <c r="L130" s="428" t="s">
        <v>570</v>
      </c>
      <c r="M130" s="426" t="s">
        <v>2159</v>
      </c>
      <c r="N13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1" spans="1:15">
      <c r="A131" s="424" t="str">
        <f>IF(TBL_ADD_04_Qs_All[[#This Row],[Type]]="Question", K132, IF(TBL_ADD_04_Qs_All[[#This Row],[Sub_No]]="N/A", "-", CONCATENATE(TBL_ADD_04_Qs_All[[#This Row],[Q_No]], TBL_ADD_04_Qs_All[[#This Row],[Sub_No]])))</f>
        <v>Q6.12.5</v>
      </c>
      <c r="B131" s="424" t="s">
        <v>152</v>
      </c>
      <c r="C13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1" s="426" t="str">
        <f>IF(OR(TBL_ADD_04_Qs_All[[#This Row],[Type]]="Overview", TBL_ADD_04_Qs_All[[#This Row],[Type]]="Sub-question", TBL_ADD_04_Qs_All[[#This Row],[Required?]]="No", TBL_ADD_04_Qs_All[[#This Row],[Section]]="IntSV", TBL_ADD_04_Qs_All[[#This Row],[Question / Sub-question]]="Not used"), "-", "")</f>
        <v>-</v>
      </c>
      <c r="E131" s="425" t="str">
        <f>IF(OR(TBL_ADD_04_Qs_All[[#This Row],[Type]]="Overview", TBL_ADD_04_Qs_All[[#This Row],[Type]]="Sub-question", TBL_ADD_04_Qs_All[[#This Row],[Required?]]="No", TBL_ADD_04_Qs_All[[#This Row],[Section]]="IntSV", TBL_ADD_04_Qs_All[[#This Row],[Question / Sub-question]]="Not used"), "-", "")</f>
        <v>-</v>
      </c>
      <c r="F131" s="427" t="str">
        <f>IF(OR(TBL_ADD_04_Qs_All[[#This Row],[Required?]]="No", TBL_ADD_04_Qs_All[[#This Row],[Section]]="IntSV", TBL_ADD_04_Qs_All[[#This Row],[Question / Sub-question]]="Not used"), "-", IF(TBL_ADD_04_Qs_All[[#This Row],[Type]]="Question", TBL_ADD_04_Qs_All[[#This Row],[No.subs]]*500, "-"))</f>
        <v>-</v>
      </c>
      <c r="G13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1" s="426" t="str">
        <f t="array" ref="I13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1" s="424" t="s">
        <v>332</v>
      </c>
      <c r="K131" s="426" t="s">
        <v>294</v>
      </c>
      <c r="L131" s="428" t="s">
        <v>571</v>
      </c>
      <c r="M131" s="426" t="s">
        <v>2159</v>
      </c>
      <c r="N13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2" spans="1:15">
      <c r="A132" s="424" t="str">
        <f>IF(TBL_ADD_04_Qs_All[[#This Row],[Type]]="Question", K133, IF(TBL_ADD_04_Qs_All[[#This Row],[Sub_No]]="N/A", "-", CONCATENATE(TBL_ADD_04_Qs_All[[#This Row],[Q_No]], TBL_ADD_04_Qs_All[[#This Row],[Sub_No]])))</f>
        <v>Q6.12.6</v>
      </c>
      <c r="B132" s="424" t="s">
        <v>152</v>
      </c>
      <c r="C13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2" s="426" t="str">
        <f>IF(OR(TBL_ADD_04_Qs_All[[#This Row],[Type]]="Overview", TBL_ADD_04_Qs_All[[#This Row],[Type]]="Sub-question", TBL_ADD_04_Qs_All[[#This Row],[Required?]]="No", TBL_ADD_04_Qs_All[[#This Row],[Section]]="IntSV", TBL_ADD_04_Qs_All[[#This Row],[Question / Sub-question]]="Not used"), "-", "")</f>
        <v>-</v>
      </c>
      <c r="E132" s="425" t="str">
        <f>IF(OR(TBL_ADD_04_Qs_All[[#This Row],[Type]]="Overview", TBL_ADD_04_Qs_All[[#This Row],[Type]]="Sub-question", TBL_ADD_04_Qs_All[[#This Row],[Required?]]="No", TBL_ADD_04_Qs_All[[#This Row],[Section]]="IntSV", TBL_ADD_04_Qs_All[[#This Row],[Question / Sub-question]]="Not used"), "-", "")</f>
        <v>-</v>
      </c>
      <c r="F132" s="427" t="str">
        <f>IF(OR(TBL_ADD_04_Qs_All[[#This Row],[Required?]]="No", TBL_ADD_04_Qs_All[[#This Row],[Section]]="IntSV", TBL_ADD_04_Qs_All[[#This Row],[Question / Sub-question]]="Not used"), "-", IF(TBL_ADD_04_Qs_All[[#This Row],[Type]]="Question", TBL_ADD_04_Qs_All[[#This Row],[No.subs]]*500, "-"))</f>
        <v>-</v>
      </c>
      <c r="G13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2" s="426" t="str">
        <f t="array" ref="I13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2" s="424" t="s">
        <v>332</v>
      </c>
      <c r="K132" s="426" t="s">
        <v>294</v>
      </c>
      <c r="L132" s="428" t="s">
        <v>573</v>
      </c>
      <c r="M132" s="426" t="s">
        <v>2159</v>
      </c>
      <c r="N13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3" spans="1:15">
      <c r="A133" s="424" t="str">
        <f>IF(TBL_ADD_04_Qs_All[[#This Row],[Type]]="Question", K134, IF(TBL_ADD_04_Qs_All[[#This Row],[Sub_No]]="N/A", "-", CONCATENATE(TBL_ADD_04_Qs_All[[#This Row],[Q_No]], TBL_ADD_04_Qs_All[[#This Row],[Sub_No]])))</f>
        <v>Q6.12.7</v>
      </c>
      <c r="B133" s="424" t="s">
        <v>152</v>
      </c>
      <c r="C13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3" s="426" t="str">
        <f>IF(OR(TBL_ADD_04_Qs_All[[#This Row],[Type]]="Overview", TBL_ADD_04_Qs_All[[#This Row],[Type]]="Sub-question", TBL_ADD_04_Qs_All[[#This Row],[Required?]]="No", TBL_ADD_04_Qs_All[[#This Row],[Section]]="IntSV", TBL_ADD_04_Qs_All[[#This Row],[Question / Sub-question]]="Not used"), "-", "")</f>
        <v>-</v>
      </c>
      <c r="E133" s="425" t="str">
        <f>IF(OR(TBL_ADD_04_Qs_All[[#This Row],[Type]]="Overview", TBL_ADD_04_Qs_All[[#This Row],[Type]]="Sub-question", TBL_ADD_04_Qs_All[[#This Row],[Required?]]="No", TBL_ADD_04_Qs_All[[#This Row],[Section]]="IntSV", TBL_ADD_04_Qs_All[[#This Row],[Question / Sub-question]]="Not used"), "-", "")</f>
        <v>-</v>
      </c>
      <c r="F133" s="427" t="str">
        <f>IF(OR(TBL_ADD_04_Qs_All[[#This Row],[Required?]]="No", TBL_ADD_04_Qs_All[[#This Row],[Section]]="IntSV", TBL_ADD_04_Qs_All[[#This Row],[Question / Sub-question]]="Not used"), "-", IF(TBL_ADD_04_Qs_All[[#This Row],[Type]]="Question", TBL_ADD_04_Qs_All[[#This Row],[No.subs]]*500, "-"))</f>
        <v>-</v>
      </c>
      <c r="G13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3" s="426" t="str">
        <f t="array" ref="I13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3" s="424" t="s">
        <v>332</v>
      </c>
      <c r="K133" s="426" t="s">
        <v>294</v>
      </c>
      <c r="L133" s="428" t="s">
        <v>574</v>
      </c>
      <c r="M133" s="426" t="s">
        <v>2159</v>
      </c>
      <c r="N13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4" spans="1:15">
      <c r="A134" s="424" t="str">
        <f>IF(TBL_ADD_04_Qs_All[[#This Row],[Type]]="Question", K135, IF(TBL_ADD_04_Qs_All[[#This Row],[Sub_No]]="N/A", "-", CONCATENATE(TBL_ADD_04_Qs_All[[#This Row],[Q_No]], TBL_ADD_04_Qs_All[[#This Row],[Sub_No]])))</f>
        <v>Q6.12.8</v>
      </c>
      <c r="B134" s="424" t="s">
        <v>152</v>
      </c>
      <c r="C13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4" s="426" t="str">
        <f>IF(OR(TBL_ADD_04_Qs_All[[#This Row],[Type]]="Overview", TBL_ADD_04_Qs_All[[#This Row],[Type]]="Sub-question", TBL_ADD_04_Qs_All[[#This Row],[Required?]]="No", TBL_ADD_04_Qs_All[[#This Row],[Section]]="IntSV", TBL_ADD_04_Qs_All[[#This Row],[Question / Sub-question]]="Not used"), "-", "")</f>
        <v>-</v>
      </c>
      <c r="E134" s="425" t="str">
        <f>IF(OR(TBL_ADD_04_Qs_All[[#This Row],[Type]]="Overview", TBL_ADD_04_Qs_All[[#This Row],[Type]]="Sub-question", TBL_ADD_04_Qs_All[[#This Row],[Required?]]="No", TBL_ADD_04_Qs_All[[#This Row],[Section]]="IntSV", TBL_ADD_04_Qs_All[[#This Row],[Question / Sub-question]]="Not used"), "-", "")</f>
        <v>-</v>
      </c>
      <c r="F134" s="427" t="str">
        <f>IF(OR(TBL_ADD_04_Qs_All[[#This Row],[Required?]]="No", TBL_ADD_04_Qs_All[[#This Row],[Section]]="IntSV", TBL_ADD_04_Qs_All[[#This Row],[Question / Sub-question]]="Not used"), "-", IF(TBL_ADD_04_Qs_All[[#This Row],[Type]]="Question", TBL_ADD_04_Qs_All[[#This Row],[No.subs]]*500, "-"))</f>
        <v>-</v>
      </c>
      <c r="G13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4" s="426" t="str">
        <f t="array" ref="I13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4" s="424" t="s">
        <v>332</v>
      </c>
      <c r="K134" s="426" t="s">
        <v>294</v>
      </c>
      <c r="L134" s="428" t="s">
        <v>575</v>
      </c>
      <c r="M134" s="426" t="s">
        <v>2159</v>
      </c>
      <c r="N13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5" spans="1:15">
      <c r="A135" s="424" t="str">
        <f>IF(TBL_ADD_04_Qs_All[[#This Row],[Type]]="Question", K136, IF(TBL_ADD_04_Qs_All[[#This Row],[Sub_No]]="N/A", "-", CONCATENATE(TBL_ADD_04_Qs_All[[#This Row],[Q_No]], TBL_ADD_04_Qs_All[[#This Row],[Sub_No]])))</f>
        <v>Q6.12.9</v>
      </c>
      <c r="B135" s="424" t="s">
        <v>152</v>
      </c>
      <c r="C13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5" s="426" t="str">
        <f>IF(OR(TBL_ADD_04_Qs_All[[#This Row],[Type]]="Overview", TBL_ADD_04_Qs_All[[#This Row],[Type]]="Sub-question", TBL_ADD_04_Qs_All[[#This Row],[Required?]]="No", TBL_ADD_04_Qs_All[[#This Row],[Section]]="IntSV", TBL_ADD_04_Qs_All[[#This Row],[Question / Sub-question]]="Not used"), "-", "")</f>
        <v>-</v>
      </c>
      <c r="E135" s="425" t="str">
        <f>IF(OR(TBL_ADD_04_Qs_All[[#This Row],[Type]]="Overview", TBL_ADD_04_Qs_All[[#This Row],[Type]]="Sub-question", TBL_ADD_04_Qs_All[[#This Row],[Required?]]="No", TBL_ADD_04_Qs_All[[#This Row],[Section]]="IntSV", TBL_ADD_04_Qs_All[[#This Row],[Question / Sub-question]]="Not used"), "-", "")</f>
        <v>-</v>
      </c>
      <c r="F135" s="427" t="str">
        <f>IF(OR(TBL_ADD_04_Qs_All[[#This Row],[Required?]]="No", TBL_ADD_04_Qs_All[[#This Row],[Section]]="IntSV", TBL_ADD_04_Qs_All[[#This Row],[Question / Sub-question]]="Not used"), "-", IF(TBL_ADD_04_Qs_All[[#This Row],[Type]]="Question", TBL_ADD_04_Qs_All[[#This Row],[No.subs]]*500, "-"))</f>
        <v>-</v>
      </c>
      <c r="G13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5" s="426" t="str">
        <f t="array" ref="I13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5" s="424" t="s">
        <v>332</v>
      </c>
      <c r="K135" s="426" t="s">
        <v>294</v>
      </c>
      <c r="L135" s="428" t="s">
        <v>576</v>
      </c>
      <c r="M135" s="426" t="s">
        <v>2159</v>
      </c>
      <c r="N13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6" spans="1:15">
      <c r="A136" s="424" t="str">
        <f>IF(TBL_ADD_04_Qs_All[[#This Row],[Type]]="Question", K137, IF(TBL_ADD_04_Qs_All[[#This Row],[Sub_No]]="N/A", "-", CONCATENATE(TBL_ADD_04_Qs_All[[#This Row],[Q_No]], TBL_ADD_04_Qs_All[[#This Row],[Sub_No]])))</f>
        <v>Q6.12.10</v>
      </c>
      <c r="B136" s="424" t="s">
        <v>152</v>
      </c>
      <c r="C13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6" s="426" t="str">
        <f>IF(OR(TBL_ADD_04_Qs_All[[#This Row],[Type]]="Overview", TBL_ADD_04_Qs_All[[#This Row],[Type]]="Sub-question", TBL_ADD_04_Qs_All[[#This Row],[Required?]]="No", TBL_ADD_04_Qs_All[[#This Row],[Section]]="IntSV", TBL_ADD_04_Qs_All[[#This Row],[Question / Sub-question]]="Not used"), "-", "")</f>
        <v>-</v>
      </c>
      <c r="E136" s="425" t="str">
        <f>IF(OR(TBL_ADD_04_Qs_All[[#This Row],[Type]]="Overview", TBL_ADD_04_Qs_All[[#This Row],[Type]]="Sub-question", TBL_ADD_04_Qs_All[[#This Row],[Required?]]="No", TBL_ADD_04_Qs_All[[#This Row],[Section]]="IntSV", TBL_ADD_04_Qs_All[[#This Row],[Question / Sub-question]]="Not used"), "-", "")</f>
        <v>-</v>
      </c>
      <c r="F136" s="427" t="str">
        <f>IF(OR(TBL_ADD_04_Qs_All[[#This Row],[Required?]]="No", TBL_ADD_04_Qs_All[[#This Row],[Section]]="IntSV", TBL_ADD_04_Qs_All[[#This Row],[Question / Sub-question]]="Not used"), "-", IF(TBL_ADD_04_Qs_All[[#This Row],[Type]]="Question", TBL_ADD_04_Qs_All[[#This Row],[No.subs]]*500, "-"))</f>
        <v>-</v>
      </c>
      <c r="G13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6" s="426" t="str">
        <f t="array" ref="I13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6" s="424" t="s">
        <v>332</v>
      </c>
      <c r="K136" s="426" t="s">
        <v>294</v>
      </c>
      <c r="L136" s="428" t="s">
        <v>577</v>
      </c>
      <c r="M136" s="426" t="s">
        <v>2159</v>
      </c>
      <c r="N13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7" spans="1:15" ht="13">
      <c r="A137" s="424" t="str">
        <f>IF(TBL_ADD_04_Qs_All[[#This Row],[Type]]="Question", K138, IF(TBL_ADD_04_Qs_All[[#This Row],[Sub_No]]="N/A", "-", CONCATENATE(TBL_ADD_04_Qs_All[[#This Row],[Q_No]], TBL_ADD_04_Qs_All[[#This Row],[Sub_No]])))</f>
        <v>Q6.13</v>
      </c>
      <c r="B137" s="424" t="s">
        <v>152</v>
      </c>
      <c r="C13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37" s="426" t="str">
        <f>IF(OR(TBL_ADD_04_Qs_All[[#This Row],[Type]]="Overview", TBL_ADD_04_Qs_All[[#This Row],[Type]]="Sub-question", TBL_ADD_04_Qs_All[[#This Row],[Required?]]="No", TBL_ADD_04_Qs_All[[#This Row],[Section]]="IntSV", TBL_ADD_04_Qs_All[[#This Row],[Question / Sub-question]]="Not used"), "-", "")</f>
        <v>-</v>
      </c>
      <c r="E137" s="425" t="str">
        <f>IF(OR(TBL_ADD_04_Qs_All[[#This Row],[Type]]="Overview", TBL_ADD_04_Qs_All[[#This Row],[Type]]="Sub-question", TBL_ADD_04_Qs_All[[#This Row],[Required?]]="No", TBL_ADD_04_Qs_All[[#This Row],[Section]]="IntSV", TBL_ADD_04_Qs_All[[#This Row],[Question / Sub-question]]="Not used"), "-", "")</f>
        <v>-</v>
      </c>
      <c r="F137" s="427" t="str">
        <f>IF(OR(TBL_ADD_04_Qs_All[[#This Row],[Required?]]="No", TBL_ADD_04_Qs_All[[#This Row],[Section]]="IntSV", TBL_ADD_04_Qs_All[[#This Row],[Question / Sub-question]]="Not used"), "-", IF(TBL_ADD_04_Qs_All[[#This Row],[Type]]="Question", TBL_ADD_04_Qs_All[[#This Row],[No.subs]]*500, "-"))</f>
        <v>-</v>
      </c>
      <c r="G13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N/A</v>
      </c>
      <c r="H137"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37" s="426">
        <f t="array" ref="I13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37" s="424" t="s">
        <v>146</v>
      </c>
      <c r="K137" s="426" t="s">
        <v>24</v>
      </c>
      <c r="L137" s="426" t="s">
        <v>24</v>
      </c>
      <c r="M137" s="426" t="s">
        <v>2159</v>
      </c>
      <c r="N13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8" spans="1:15">
      <c r="A138" s="424" t="str">
        <f>IF(TBL_ADD_04_Qs_All[[#This Row],[Type]]="Question", K139, IF(TBL_ADD_04_Qs_All[[#This Row],[Sub_No]]="N/A", "-", CONCATENATE(TBL_ADD_04_Qs_All[[#This Row],[Q_No]], TBL_ADD_04_Qs_All[[#This Row],[Sub_No]])))</f>
        <v>Q6.13.1</v>
      </c>
      <c r="B138" s="424" t="s">
        <v>152</v>
      </c>
      <c r="C13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8" s="426" t="str">
        <f>IF(OR(TBL_ADD_04_Qs_All[[#This Row],[Type]]="Overview", TBL_ADD_04_Qs_All[[#This Row],[Type]]="Sub-question", TBL_ADD_04_Qs_All[[#This Row],[Required?]]="No", TBL_ADD_04_Qs_All[[#This Row],[Section]]="IntSV", TBL_ADD_04_Qs_All[[#This Row],[Question / Sub-question]]="Not used"), "-", "")</f>
        <v>-</v>
      </c>
      <c r="E138" s="425" t="str">
        <f>IF(OR(TBL_ADD_04_Qs_All[[#This Row],[Type]]="Overview", TBL_ADD_04_Qs_All[[#This Row],[Type]]="Sub-question", TBL_ADD_04_Qs_All[[#This Row],[Required?]]="No", TBL_ADD_04_Qs_All[[#This Row],[Section]]="IntSV", TBL_ADD_04_Qs_All[[#This Row],[Question / Sub-question]]="Not used"), "-", "")</f>
        <v>-</v>
      </c>
      <c r="F138" s="427" t="str">
        <f>IF(OR(TBL_ADD_04_Qs_All[[#This Row],[Required?]]="No", TBL_ADD_04_Qs_All[[#This Row],[Section]]="IntSV", TBL_ADD_04_Qs_All[[#This Row],[Question / Sub-question]]="Not used"), "-", IF(TBL_ADD_04_Qs_All[[#This Row],[Type]]="Question", TBL_ADD_04_Qs_All[[#This Row],[No.subs]]*500, "-"))</f>
        <v>-</v>
      </c>
      <c r="G13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8" s="426" t="str">
        <f t="array" ref="I13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8" s="424" t="s">
        <v>332</v>
      </c>
      <c r="K138" s="426" t="s">
        <v>305</v>
      </c>
      <c r="L138" s="428" t="s">
        <v>568</v>
      </c>
      <c r="M138" s="426" t="s">
        <v>2159</v>
      </c>
      <c r="N13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39" spans="1:15">
      <c r="A139" s="424" t="str">
        <f>IF(TBL_ADD_04_Qs_All[[#This Row],[Type]]="Question", K140, IF(TBL_ADD_04_Qs_All[[#This Row],[Sub_No]]="N/A", "-", CONCATENATE(TBL_ADD_04_Qs_All[[#This Row],[Q_No]], TBL_ADD_04_Qs_All[[#This Row],[Sub_No]])))</f>
        <v>Q6.13.2</v>
      </c>
      <c r="B139" s="424" t="s">
        <v>152</v>
      </c>
      <c r="C13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39" s="426" t="str">
        <f>IF(OR(TBL_ADD_04_Qs_All[[#This Row],[Type]]="Overview", TBL_ADD_04_Qs_All[[#This Row],[Type]]="Sub-question", TBL_ADD_04_Qs_All[[#This Row],[Required?]]="No", TBL_ADD_04_Qs_All[[#This Row],[Section]]="IntSV", TBL_ADD_04_Qs_All[[#This Row],[Question / Sub-question]]="Not used"), "-", "")</f>
        <v>-</v>
      </c>
      <c r="E139" s="425" t="str">
        <f>IF(OR(TBL_ADD_04_Qs_All[[#This Row],[Type]]="Overview", TBL_ADD_04_Qs_All[[#This Row],[Type]]="Sub-question", TBL_ADD_04_Qs_All[[#This Row],[Required?]]="No", TBL_ADD_04_Qs_All[[#This Row],[Section]]="IntSV", TBL_ADD_04_Qs_All[[#This Row],[Question / Sub-question]]="Not used"), "-", "")</f>
        <v>-</v>
      </c>
      <c r="F139" s="427" t="str">
        <f>IF(OR(TBL_ADD_04_Qs_All[[#This Row],[Required?]]="No", TBL_ADD_04_Qs_All[[#This Row],[Section]]="IntSV", TBL_ADD_04_Qs_All[[#This Row],[Question / Sub-question]]="Not used"), "-", IF(TBL_ADD_04_Qs_All[[#This Row],[Type]]="Question", TBL_ADD_04_Qs_All[[#This Row],[No.subs]]*500, "-"))</f>
        <v>-</v>
      </c>
      <c r="G13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3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39" s="426" t="str">
        <f t="array" ref="I13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39" s="424" t="s">
        <v>332</v>
      </c>
      <c r="K139" s="426" t="s">
        <v>305</v>
      </c>
      <c r="L139" s="428" t="s">
        <v>572</v>
      </c>
      <c r="M139" s="426" t="s">
        <v>2159</v>
      </c>
      <c r="N13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3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0" spans="1:15">
      <c r="A140" s="424" t="str">
        <f>IF(TBL_ADD_04_Qs_All[[#This Row],[Type]]="Question", K141, IF(TBL_ADD_04_Qs_All[[#This Row],[Sub_No]]="N/A", "-", CONCATENATE(TBL_ADD_04_Qs_All[[#This Row],[Q_No]], TBL_ADD_04_Qs_All[[#This Row],[Sub_No]])))</f>
        <v>Q6.13.3</v>
      </c>
      <c r="B140" s="424" t="s">
        <v>152</v>
      </c>
      <c r="C14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0" s="426" t="str">
        <f>IF(OR(TBL_ADD_04_Qs_All[[#This Row],[Type]]="Overview", TBL_ADD_04_Qs_All[[#This Row],[Type]]="Sub-question", TBL_ADD_04_Qs_All[[#This Row],[Required?]]="No", TBL_ADD_04_Qs_All[[#This Row],[Section]]="IntSV", TBL_ADD_04_Qs_All[[#This Row],[Question / Sub-question]]="Not used"), "-", "")</f>
        <v>-</v>
      </c>
      <c r="E140" s="425" t="str">
        <f>IF(OR(TBL_ADD_04_Qs_All[[#This Row],[Type]]="Overview", TBL_ADD_04_Qs_All[[#This Row],[Type]]="Sub-question", TBL_ADD_04_Qs_All[[#This Row],[Required?]]="No", TBL_ADD_04_Qs_All[[#This Row],[Section]]="IntSV", TBL_ADD_04_Qs_All[[#This Row],[Question / Sub-question]]="Not used"), "-", "")</f>
        <v>-</v>
      </c>
      <c r="F140" s="427" t="str">
        <f>IF(OR(TBL_ADD_04_Qs_All[[#This Row],[Required?]]="No", TBL_ADD_04_Qs_All[[#This Row],[Section]]="IntSV", TBL_ADD_04_Qs_All[[#This Row],[Question / Sub-question]]="Not used"), "-", IF(TBL_ADD_04_Qs_All[[#This Row],[Type]]="Question", TBL_ADD_04_Qs_All[[#This Row],[No.subs]]*500, "-"))</f>
        <v>-</v>
      </c>
      <c r="G14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0" s="426" t="str">
        <f t="array" ref="I14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0" s="424" t="s">
        <v>332</v>
      </c>
      <c r="K140" s="426" t="s">
        <v>305</v>
      </c>
      <c r="L140" s="428" t="s">
        <v>569</v>
      </c>
      <c r="M140" s="426" t="s">
        <v>2159</v>
      </c>
      <c r="N14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1" spans="1:15">
      <c r="A141" s="424" t="str">
        <f>IF(TBL_ADD_04_Qs_All[[#This Row],[Type]]="Question", K142, IF(TBL_ADD_04_Qs_All[[#This Row],[Sub_No]]="N/A", "-", CONCATENATE(TBL_ADD_04_Qs_All[[#This Row],[Q_No]], TBL_ADD_04_Qs_All[[#This Row],[Sub_No]])))</f>
        <v>Q6.13.4</v>
      </c>
      <c r="B141" s="424" t="s">
        <v>152</v>
      </c>
      <c r="C14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1" s="426" t="str">
        <f>IF(OR(TBL_ADD_04_Qs_All[[#This Row],[Type]]="Overview", TBL_ADD_04_Qs_All[[#This Row],[Type]]="Sub-question", TBL_ADD_04_Qs_All[[#This Row],[Required?]]="No", TBL_ADD_04_Qs_All[[#This Row],[Section]]="IntSV", TBL_ADD_04_Qs_All[[#This Row],[Question / Sub-question]]="Not used"), "-", "")</f>
        <v>-</v>
      </c>
      <c r="E141" s="425" t="str">
        <f>IF(OR(TBL_ADD_04_Qs_All[[#This Row],[Type]]="Overview", TBL_ADD_04_Qs_All[[#This Row],[Type]]="Sub-question", TBL_ADD_04_Qs_All[[#This Row],[Required?]]="No", TBL_ADD_04_Qs_All[[#This Row],[Section]]="IntSV", TBL_ADD_04_Qs_All[[#This Row],[Question / Sub-question]]="Not used"), "-", "")</f>
        <v>-</v>
      </c>
      <c r="F141" s="427" t="str">
        <f>IF(OR(TBL_ADD_04_Qs_All[[#This Row],[Required?]]="No", TBL_ADD_04_Qs_All[[#This Row],[Section]]="IntSV", TBL_ADD_04_Qs_All[[#This Row],[Question / Sub-question]]="Not used"), "-", IF(TBL_ADD_04_Qs_All[[#This Row],[Type]]="Question", TBL_ADD_04_Qs_All[[#This Row],[No.subs]]*500, "-"))</f>
        <v>-</v>
      </c>
      <c r="G14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1" s="426" t="str">
        <f t="array" ref="I14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1" s="424" t="s">
        <v>332</v>
      </c>
      <c r="K141" s="426" t="s">
        <v>305</v>
      </c>
      <c r="L141" s="428" t="s">
        <v>570</v>
      </c>
      <c r="M141" s="426" t="s">
        <v>2159</v>
      </c>
      <c r="N14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2" spans="1:15">
      <c r="A142" s="424" t="str">
        <f>IF(TBL_ADD_04_Qs_All[[#This Row],[Type]]="Question", K143, IF(TBL_ADD_04_Qs_All[[#This Row],[Sub_No]]="N/A", "-", CONCATENATE(TBL_ADD_04_Qs_All[[#This Row],[Q_No]], TBL_ADD_04_Qs_All[[#This Row],[Sub_No]])))</f>
        <v>Q6.13.5</v>
      </c>
      <c r="B142" s="424" t="s">
        <v>152</v>
      </c>
      <c r="C14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2" s="426" t="str">
        <f>IF(OR(TBL_ADD_04_Qs_All[[#This Row],[Type]]="Overview", TBL_ADD_04_Qs_All[[#This Row],[Type]]="Sub-question", TBL_ADD_04_Qs_All[[#This Row],[Required?]]="No", TBL_ADD_04_Qs_All[[#This Row],[Section]]="IntSV", TBL_ADD_04_Qs_All[[#This Row],[Question / Sub-question]]="Not used"), "-", "")</f>
        <v>-</v>
      </c>
      <c r="E142" s="425" t="str">
        <f>IF(OR(TBL_ADD_04_Qs_All[[#This Row],[Type]]="Overview", TBL_ADD_04_Qs_All[[#This Row],[Type]]="Sub-question", TBL_ADD_04_Qs_All[[#This Row],[Required?]]="No", TBL_ADD_04_Qs_All[[#This Row],[Section]]="IntSV", TBL_ADD_04_Qs_All[[#This Row],[Question / Sub-question]]="Not used"), "-", "")</f>
        <v>-</v>
      </c>
      <c r="F142" s="427" t="str">
        <f>IF(OR(TBL_ADD_04_Qs_All[[#This Row],[Required?]]="No", TBL_ADD_04_Qs_All[[#This Row],[Section]]="IntSV", TBL_ADD_04_Qs_All[[#This Row],[Question / Sub-question]]="Not used"), "-", IF(TBL_ADD_04_Qs_All[[#This Row],[Type]]="Question", TBL_ADD_04_Qs_All[[#This Row],[No.subs]]*500, "-"))</f>
        <v>-</v>
      </c>
      <c r="G14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2" s="426" t="str">
        <f t="array" ref="I14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2" s="424" t="s">
        <v>332</v>
      </c>
      <c r="K142" s="426" t="s">
        <v>305</v>
      </c>
      <c r="L142" s="428" t="s">
        <v>571</v>
      </c>
      <c r="M142" s="426" t="s">
        <v>2159</v>
      </c>
      <c r="N14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3" spans="1:15">
      <c r="A143" s="424" t="str">
        <f>IF(TBL_ADD_04_Qs_All[[#This Row],[Type]]="Question", K144, IF(TBL_ADD_04_Qs_All[[#This Row],[Sub_No]]="N/A", "-", CONCATENATE(TBL_ADD_04_Qs_All[[#This Row],[Q_No]], TBL_ADD_04_Qs_All[[#This Row],[Sub_No]])))</f>
        <v>Q6.13.6</v>
      </c>
      <c r="B143" s="424" t="s">
        <v>152</v>
      </c>
      <c r="C14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3" s="426" t="str">
        <f>IF(OR(TBL_ADD_04_Qs_All[[#This Row],[Type]]="Overview", TBL_ADD_04_Qs_All[[#This Row],[Type]]="Sub-question", TBL_ADD_04_Qs_All[[#This Row],[Required?]]="No", TBL_ADD_04_Qs_All[[#This Row],[Section]]="IntSV", TBL_ADD_04_Qs_All[[#This Row],[Question / Sub-question]]="Not used"), "-", "")</f>
        <v>-</v>
      </c>
      <c r="E143" s="425" t="str">
        <f>IF(OR(TBL_ADD_04_Qs_All[[#This Row],[Type]]="Overview", TBL_ADD_04_Qs_All[[#This Row],[Type]]="Sub-question", TBL_ADD_04_Qs_All[[#This Row],[Required?]]="No", TBL_ADD_04_Qs_All[[#This Row],[Section]]="IntSV", TBL_ADD_04_Qs_All[[#This Row],[Question / Sub-question]]="Not used"), "-", "")</f>
        <v>-</v>
      </c>
      <c r="F143" s="427" t="str">
        <f>IF(OR(TBL_ADD_04_Qs_All[[#This Row],[Required?]]="No", TBL_ADD_04_Qs_All[[#This Row],[Section]]="IntSV", TBL_ADD_04_Qs_All[[#This Row],[Question / Sub-question]]="Not used"), "-", IF(TBL_ADD_04_Qs_All[[#This Row],[Type]]="Question", TBL_ADD_04_Qs_All[[#This Row],[No.subs]]*500, "-"))</f>
        <v>-</v>
      </c>
      <c r="G14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3" s="426" t="str">
        <f t="array" ref="I14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3" s="424" t="s">
        <v>332</v>
      </c>
      <c r="K143" s="426" t="s">
        <v>305</v>
      </c>
      <c r="L143" s="428" t="s">
        <v>573</v>
      </c>
      <c r="M143" s="426" t="s">
        <v>2159</v>
      </c>
      <c r="N14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4" spans="1:15">
      <c r="A144" s="424" t="str">
        <f>IF(TBL_ADD_04_Qs_All[[#This Row],[Type]]="Question", K145, IF(TBL_ADD_04_Qs_All[[#This Row],[Sub_No]]="N/A", "-", CONCATENATE(TBL_ADD_04_Qs_All[[#This Row],[Q_No]], TBL_ADD_04_Qs_All[[#This Row],[Sub_No]])))</f>
        <v>Q6.13.7</v>
      </c>
      <c r="B144" s="424" t="s">
        <v>152</v>
      </c>
      <c r="C14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4" s="426" t="str">
        <f>IF(OR(TBL_ADD_04_Qs_All[[#This Row],[Type]]="Overview", TBL_ADD_04_Qs_All[[#This Row],[Type]]="Sub-question", TBL_ADD_04_Qs_All[[#This Row],[Required?]]="No", TBL_ADD_04_Qs_All[[#This Row],[Section]]="IntSV", TBL_ADD_04_Qs_All[[#This Row],[Question / Sub-question]]="Not used"), "-", "")</f>
        <v>-</v>
      </c>
      <c r="E144" s="425" t="str">
        <f>IF(OR(TBL_ADD_04_Qs_All[[#This Row],[Type]]="Overview", TBL_ADD_04_Qs_All[[#This Row],[Type]]="Sub-question", TBL_ADD_04_Qs_All[[#This Row],[Required?]]="No", TBL_ADD_04_Qs_All[[#This Row],[Section]]="IntSV", TBL_ADD_04_Qs_All[[#This Row],[Question / Sub-question]]="Not used"), "-", "")</f>
        <v>-</v>
      </c>
      <c r="F144" s="427" t="str">
        <f>IF(OR(TBL_ADD_04_Qs_All[[#This Row],[Required?]]="No", TBL_ADD_04_Qs_All[[#This Row],[Section]]="IntSV", TBL_ADD_04_Qs_All[[#This Row],[Question / Sub-question]]="Not used"), "-", IF(TBL_ADD_04_Qs_All[[#This Row],[Type]]="Question", TBL_ADD_04_Qs_All[[#This Row],[No.subs]]*500, "-"))</f>
        <v>-</v>
      </c>
      <c r="G14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4" s="426" t="str">
        <f t="array" ref="I14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4" s="424" t="s">
        <v>332</v>
      </c>
      <c r="K144" s="426" t="s">
        <v>305</v>
      </c>
      <c r="L144" s="428" t="s">
        <v>574</v>
      </c>
      <c r="M144" s="426" t="s">
        <v>2159</v>
      </c>
      <c r="N14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5" spans="1:15">
      <c r="A145" s="424" t="str">
        <f>IF(TBL_ADD_04_Qs_All[[#This Row],[Type]]="Question", K146, IF(TBL_ADD_04_Qs_All[[#This Row],[Sub_No]]="N/A", "-", CONCATENATE(TBL_ADD_04_Qs_All[[#This Row],[Q_No]], TBL_ADD_04_Qs_All[[#This Row],[Sub_No]])))</f>
        <v>Q6.13.8</v>
      </c>
      <c r="B145" s="424" t="s">
        <v>152</v>
      </c>
      <c r="C14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5" s="426" t="str">
        <f>IF(OR(TBL_ADD_04_Qs_All[[#This Row],[Type]]="Overview", TBL_ADD_04_Qs_All[[#This Row],[Type]]="Sub-question", TBL_ADD_04_Qs_All[[#This Row],[Required?]]="No", TBL_ADD_04_Qs_All[[#This Row],[Section]]="IntSV", TBL_ADD_04_Qs_All[[#This Row],[Question / Sub-question]]="Not used"), "-", "")</f>
        <v>-</v>
      </c>
      <c r="E145" s="425" t="str">
        <f>IF(OR(TBL_ADD_04_Qs_All[[#This Row],[Type]]="Overview", TBL_ADD_04_Qs_All[[#This Row],[Type]]="Sub-question", TBL_ADD_04_Qs_All[[#This Row],[Required?]]="No", TBL_ADD_04_Qs_All[[#This Row],[Section]]="IntSV", TBL_ADD_04_Qs_All[[#This Row],[Question / Sub-question]]="Not used"), "-", "")</f>
        <v>-</v>
      </c>
      <c r="F145" s="427" t="str">
        <f>IF(OR(TBL_ADD_04_Qs_All[[#This Row],[Required?]]="No", TBL_ADD_04_Qs_All[[#This Row],[Section]]="IntSV", TBL_ADD_04_Qs_All[[#This Row],[Question / Sub-question]]="Not used"), "-", IF(TBL_ADD_04_Qs_All[[#This Row],[Type]]="Question", TBL_ADD_04_Qs_All[[#This Row],[No.subs]]*500, "-"))</f>
        <v>-</v>
      </c>
      <c r="G14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5" s="426" t="str">
        <f t="array" ref="I14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5" s="424" t="s">
        <v>332</v>
      </c>
      <c r="K145" s="426" t="s">
        <v>305</v>
      </c>
      <c r="L145" s="428" t="s">
        <v>575</v>
      </c>
      <c r="M145" s="426" t="s">
        <v>2159</v>
      </c>
      <c r="N14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6" spans="1:15">
      <c r="A146" s="424" t="str">
        <f>IF(TBL_ADD_04_Qs_All[[#This Row],[Type]]="Question", K147, IF(TBL_ADD_04_Qs_All[[#This Row],[Sub_No]]="N/A", "-", CONCATENATE(TBL_ADD_04_Qs_All[[#This Row],[Q_No]], TBL_ADD_04_Qs_All[[#This Row],[Sub_No]])))</f>
        <v>Q6.13.9</v>
      </c>
      <c r="B146" s="424" t="s">
        <v>152</v>
      </c>
      <c r="C14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6" s="426" t="str">
        <f>IF(OR(TBL_ADD_04_Qs_All[[#This Row],[Type]]="Overview", TBL_ADD_04_Qs_All[[#This Row],[Type]]="Sub-question", TBL_ADD_04_Qs_All[[#This Row],[Required?]]="No", TBL_ADD_04_Qs_All[[#This Row],[Section]]="IntSV", TBL_ADD_04_Qs_All[[#This Row],[Question / Sub-question]]="Not used"), "-", "")</f>
        <v>-</v>
      </c>
      <c r="E146" s="425" t="str">
        <f>IF(OR(TBL_ADD_04_Qs_All[[#This Row],[Type]]="Overview", TBL_ADD_04_Qs_All[[#This Row],[Type]]="Sub-question", TBL_ADD_04_Qs_All[[#This Row],[Required?]]="No", TBL_ADD_04_Qs_All[[#This Row],[Section]]="IntSV", TBL_ADD_04_Qs_All[[#This Row],[Question / Sub-question]]="Not used"), "-", "")</f>
        <v>-</v>
      </c>
      <c r="F146" s="427" t="str">
        <f>IF(OR(TBL_ADD_04_Qs_All[[#This Row],[Required?]]="No", TBL_ADD_04_Qs_All[[#This Row],[Section]]="IntSV", TBL_ADD_04_Qs_All[[#This Row],[Question / Sub-question]]="Not used"), "-", IF(TBL_ADD_04_Qs_All[[#This Row],[Type]]="Question", TBL_ADD_04_Qs_All[[#This Row],[No.subs]]*500, "-"))</f>
        <v>-</v>
      </c>
      <c r="G14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6" s="426" t="str">
        <f t="array" ref="I14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6" s="424" t="s">
        <v>332</v>
      </c>
      <c r="K146" s="426" t="s">
        <v>305</v>
      </c>
      <c r="L146" s="428" t="s">
        <v>576</v>
      </c>
      <c r="M146" s="426" t="s">
        <v>2159</v>
      </c>
      <c r="N14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7" spans="1:15">
      <c r="A147" s="424" t="str">
        <f>IF(TBL_ADD_04_Qs_All[[#This Row],[Type]]="Question", K148, IF(TBL_ADD_04_Qs_All[[#This Row],[Sub_No]]="N/A", "-", CONCATENATE(TBL_ADD_04_Qs_All[[#This Row],[Q_No]], TBL_ADD_04_Qs_All[[#This Row],[Sub_No]])))</f>
        <v>Q6.13.10</v>
      </c>
      <c r="B147" s="424" t="s">
        <v>152</v>
      </c>
      <c r="C14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7" s="426" t="str">
        <f>IF(OR(TBL_ADD_04_Qs_All[[#This Row],[Type]]="Overview", TBL_ADD_04_Qs_All[[#This Row],[Type]]="Sub-question", TBL_ADD_04_Qs_All[[#This Row],[Required?]]="No", TBL_ADD_04_Qs_All[[#This Row],[Section]]="IntSV", TBL_ADD_04_Qs_All[[#This Row],[Question / Sub-question]]="Not used"), "-", "")</f>
        <v>-</v>
      </c>
      <c r="E147" s="425" t="str">
        <f>IF(OR(TBL_ADD_04_Qs_All[[#This Row],[Type]]="Overview", TBL_ADD_04_Qs_All[[#This Row],[Type]]="Sub-question", TBL_ADD_04_Qs_All[[#This Row],[Required?]]="No", TBL_ADD_04_Qs_All[[#This Row],[Section]]="IntSV", TBL_ADD_04_Qs_All[[#This Row],[Question / Sub-question]]="Not used"), "-", "")</f>
        <v>-</v>
      </c>
      <c r="F147" s="427" t="str">
        <f>IF(OR(TBL_ADD_04_Qs_All[[#This Row],[Required?]]="No", TBL_ADD_04_Qs_All[[#This Row],[Section]]="IntSV", TBL_ADD_04_Qs_All[[#This Row],[Question / Sub-question]]="Not used"), "-", IF(TBL_ADD_04_Qs_All[[#This Row],[Type]]="Question", TBL_ADD_04_Qs_All[[#This Row],[No.subs]]*500, "-"))</f>
        <v>-</v>
      </c>
      <c r="G14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4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47" s="426" t="str">
        <f t="array" ref="I14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7" s="424" t="s">
        <v>332</v>
      </c>
      <c r="K147" s="426" t="s">
        <v>305</v>
      </c>
      <c r="L147" s="428" t="s">
        <v>577</v>
      </c>
      <c r="M147" s="426" t="s">
        <v>2159</v>
      </c>
      <c r="N14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8" spans="1:15" ht="13">
      <c r="A148" s="424" t="str">
        <f>IF(TBL_ADD_04_Qs_All[[#This Row],[Type]]="Question", K149, IF(TBL_ADD_04_Qs_All[[#This Row],[Sub_No]]="N/A", "-", CONCATENATE(TBL_ADD_04_Qs_All[[#This Row],[Q_No]], TBL_ADD_04_Qs_All[[#This Row],[Sub_No]])))</f>
        <v>-</v>
      </c>
      <c r="B148" s="429" t="str">
        <f>IF(TBL_ADD_04_Qs_All[[#This Row],[Required?]]="Yes", "Part 4 - Project Delivery questions", "Section not used")</f>
        <v>Part 4 - Project Delivery questions</v>
      </c>
      <c r="C14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48" s="426" t="str">
        <f>IF(OR(TBL_ADD_04_Qs_All[[#This Row],[Type]]="Overview", TBL_ADD_04_Qs_All[[#This Row],[Type]]="Sub-question", TBL_ADD_04_Qs_All[[#This Row],[Required?]]="No", TBL_ADD_04_Qs_All[[#This Row],[Section]]="IntSV", TBL_ADD_04_Qs_All[[#This Row],[Question / Sub-question]]="Not used"), "-", "")</f>
        <v>-</v>
      </c>
      <c r="E148" s="425" t="str">
        <f>IF(OR(TBL_ADD_04_Qs_All[[#This Row],[Type]]="Overview", TBL_ADD_04_Qs_All[[#This Row],[Type]]="Sub-question", TBL_ADD_04_Qs_All[[#This Row],[Required?]]="No", TBL_ADD_04_Qs_All[[#This Row],[Section]]="IntSV", TBL_ADD_04_Qs_All[[#This Row],[Question / Sub-question]]="Not used"), "-", "")</f>
        <v>-</v>
      </c>
      <c r="F148" s="427" t="str">
        <f>IF(OR(TBL_ADD_04_Qs_All[[#This Row],[Required?]]="No", TBL_ADD_04_Qs_All[[#This Row],[Section]]="IntSV", TBL_ADD_04_Qs_All[[#This Row],[Question / Sub-question]]="Not used"), "-", IF(TBL_ADD_04_Qs_All[[#This Row],[Type]]="Question", TBL_ADD_04_Qs_All[[#This Row],[No.subs]]*500, "-"))</f>
        <v>-</v>
      </c>
      <c r="G148" s="425">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0</v>
      </c>
      <c r="H148"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48" s="426" t="str">
        <f t="array" ref="I14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48" s="424" t="s">
        <v>331</v>
      </c>
      <c r="K148" s="426" t="s">
        <v>339</v>
      </c>
      <c r="L148" s="426" t="s">
        <v>24</v>
      </c>
      <c r="M148" s="426" t="s">
        <v>479</v>
      </c>
      <c r="N14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49" spans="1:15" ht="13">
      <c r="A149" s="424" t="str">
        <f>IF(TBL_ADD_04_Qs_All[[#This Row],[Type]]="Question", K150, IF(TBL_ADD_04_Qs_All[[#This Row],[Sub_No]]="N/A", "-", CONCATENATE(TBL_ADD_04_Qs_All[[#This Row],[Q_No]], TBL_ADD_04_Qs_All[[#This Row],[Sub_No]])))</f>
        <v>Q4.1</v>
      </c>
      <c r="B149" s="424" t="s">
        <v>152</v>
      </c>
      <c r="C14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49" s="426" t="str">
        <f>IF(OR(TBL_ADD_04_Qs_All[[#This Row],[Type]]="Overview", TBL_ADD_04_Qs_All[[#This Row],[Type]]="Sub-question", TBL_ADD_04_Qs_All[[#This Row],[Required?]]="No", TBL_ADD_04_Qs_All[[#This Row],[Section]]="IntSV", TBL_ADD_04_Qs_All[[#This Row],[Question / Sub-question]]="Not used"), "-", "")</f>
        <v>-</v>
      </c>
      <c r="E149" s="425" t="str">
        <f>IF(OR(TBL_ADD_04_Qs_All[[#This Row],[Type]]="Overview", TBL_ADD_04_Qs_All[[#This Row],[Type]]="Sub-question", TBL_ADD_04_Qs_All[[#This Row],[Required?]]="No", TBL_ADD_04_Qs_All[[#This Row],[Section]]="IntSV", TBL_ADD_04_Qs_All[[#This Row],[Question / Sub-question]]="Not used"), "-", "")</f>
        <v>-</v>
      </c>
      <c r="F149" s="427" t="str">
        <f>IF(OR(TBL_ADD_04_Qs_All[[#This Row],[Required?]]="No", TBL_ADD_04_Qs_All[[#This Row],[Section]]="IntSV", TBL_ADD_04_Qs_All[[#This Row],[Question / Sub-question]]="Not used"), "-", IF(TBL_ADD_04_Qs_All[[#This Row],[Type]]="Question", TBL_ADD_04_Qs_All[[#This Row],[No.subs]]*500, "-"))</f>
        <v>-</v>
      </c>
      <c r="G14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149"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49" s="426">
        <f t="array" ref="I14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49" s="424" t="s">
        <v>146</v>
      </c>
      <c r="K149" s="426" t="s">
        <v>24</v>
      </c>
      <c r="L149" s="426" t="s">
        <v>24</v>
      </c>
      <c r="M149" s="426" t="s">
        <v>479</v>
      </c>
      <c r="N14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4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0" spans="1:15">
      <c r="A150" s="424" t="str">
        <f>IF(TBL_ADD_04_Qs_All[[#This Row],[Type]]="Question", K151, IF(TBL_ADD_04_Qs_All[[#This Row],[Sub_No]]="N/A", "-", CONCATENATE(TBL_ADD_04_Qs_All[[#This Row],[Q_No]], TBL_ADD_04_Qs_All[[#This Row],[Sub_No]])))</f>
        <v>Q4.1.1</v>
      </c>
      <c r="B150" s="424" t="s">
        <v>152</v>
      </c>
      <c r="C15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0" s="426" t="str">
        <f>IF(OR(TBL_ADD_04_Qs_All[[#This Row],[Type]]="Overview", TBL_ADD_04_Qs_All[[#This Row],[Type]]="Sub-question", TBL_ADD_04_Qs_All[[#This Row],[Required?]]="No", TBL_ADD_04_Qs_All[[#This Row],[Section]]="IntSV", TBL_ADD_04_Qs_All[[#This Row],[Question / Sub-question]]="Not used"), "-", "")</f>
        <v>-</v>
      </c>
      <c r="E150" s="425" t="str">
        <f>IF(OR(TBL_ADD_04_Qs_All[[#This Row],[Type]]="Overview", TBL_ADD_04_Qs_All[[#This Row],[Type]]="Sub-question", TBL_ADD_04_Qs_All[[#This Row],[Required?]]="No", TBL_ADD_04_Qs_All[[#This Row],[Section]]="IntSV", TBL_ADD_04_Qs_All[[#This Row],[Question / Sub-question]]="Not used"), "-", "")</f>
        <v>-</v>
      </c>
      <c r="F150" s="427" t="str">
        <f>IF(OR(TBL_ADD_04_Qs_All[[#This Row],[Required?]]="No", TBL_ADD_04_Qs_All[[#This Row],[Section]]="IntSV", TBL_ADD_04_Qs_All[[#This Row],[Question / Sub-question]]="Not used"), "-", IF(TBL_ADD_04_Qs_All[[#This Row],[Type]]="Question", TBL_ADD_04_Qs_All[[#This Row],[No.subs]]*500, "-"))</f>
        <v>-</v>
      </c>
      <c r="G15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0" s="426" t="str">
        <f t="array" ref="I15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0" s="424" t="s">
        <v>332</v>
      </c>
      <c r="K150" s="426" t="s">
        <v>1313</v>
      </c>
      <c r="L150" s="428" t="s">
        <v>568</v>
      </c>
      <c r="M150" s="426" t="s">
        <v>479</v>
      </c>
      <c r="N15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1" spans="1:15">
      <c r="A151" s="424" t="str">
        <f>IF(TBL_ADD_04_Qs_All[[#This Row],[Type]]="Question", K152, IF(TBL_ADD_04_Qs_All[[#This Row],[Sub_No]]="N/A", "-", CONCATENATE(TBL_ADD_04_Qs_All[[#This Row],[Q_No]], TBL_ADD_04_Qs_All[[#This Row],[Sub_No]])))</f>
        <v>Q4.1.2</v>
      </c>
      <c r="B151" s="424" t="s">
        <v>152</v>
      </c>
      <c r="C15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1" s="426" t="str">
        <f>IF(OR(TBL_ADD_04_Qs_All[[#This Row],[Type]]="Overview", TBL_ADD_04_Qs_All[[#This Row],[Type]]="Sub-question", TBL_ADD_04_Qs_All[[#This Row],[Required?]]="No", TBL_ADD_04_Qs_All[[#This Row],[Section]]="IntSV", TBL_ADD_04_Qs_All[[#This Row],[Question / Sub-question]]="Not used"), "-", "")</f>
        <v>-</v>
      </c>
      <c r="E151" s="425" t="str">
        <f>IF(OR(TBL_ADD_04_Qs_All[[#This Row],[Type]]="Overview", TBL_ADD_04_Qs_All[[#This Row],[Type]]="Sub-question", TBL_ADD_04_Qs_All[[#This Row],[Required?]]="No", TBL_ADD_04_Qs_All[[#This Row],[Section]]="IntSV", TBL_ADD_04_Qs_All[[#This Row],[Question / Sub-question]]="Not used"), "-", "")</f>
        <v>-</v>
      </c>
      <c r="F151" s="427" t="str">
        <f>IF(OR(TBL_ADD_04_Qs_All[[#This Row],[Required?]]="No", TBL_ADD_04_Qs_All[[#This Row],[Section]]="IntSV", TBL_ADD_04_Qs_All[[#This Row],[Question / Sub-question]]="Not used"), "-", IF(TBL_ADD_04_Qs_All[[#This Row],[Type]]="Question", TBL_ADD_04_Qs_All[[#This Row],[No.subs]]*500, "-"))</f>
        <v>-</v>
      </c>
      <c r="G15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1" s="426" t="str">
        <f t="array" ref="I15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1" s="424" t="s">
        <v>332</v>
      </c>
      <c r="K151" s="426" t="s">
        <v>1313</v>
      </c>
      <c r="L151" s="428" t="s">
        <v>572</v>
      </c>
      <c r="M151" s="426" t="s">
        <v>479</v>
      </c>
      <c r="N15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2" spans="1:15">
      <c r="A152" s="424" t="str">
        <f>IF(TBL_ADD_04_Qs_All[[#This Row],[Type]]="Question", K153, IF(TBL_ADD_04_Qs_All[[#This Row],[Sub_No]]="N/A", "-", CONCATENATE(TBL_ADD_04_Qs_All[[#This Row],[Q_No]], TBL_ADD_04_Qs_All[[#This Row],[Sub_No]])))</f>
        <v>Q4.1.3</v>
      </c>
      <c r="B152" s="424" t="s">
        <v>152</v>
      </c>
      <c r="C15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2" s="426" t="str">
        <f>IF(OR(TBL_ADD_04_Qs_All[[#This Row],[Type]]="Overview", TBL_ADD_04_Qs_All[[#This Row],[Type]]="Sub-question", TBL_ADD_04_Qs_All[[#This Row],[Required?]]="No", TBL_ADD_04_Qs_All[[#This Row],[Section]]="IntSV", TBL_ADD_04_Qs_All[[#This Row],[Question / Sub-question]]="Not used"), "-", "")</f>
        <v>-</v>
      </c>
      <c r="E152" s="425" t="str">
        <f>IF(OR(TBL_ADD_04_Qs_All[[#This Row],[Type]]="Overview", TBL_ADD_04_Qs_All[[#This Row],[Type]]="Sub-question", TBL_ADD_04_Qs_All[[#This Row],[Required?]]="No", TBL_ADD_04_Qs_All[[#This Row],[Section]]="IntSV", TBL_ADD_04_Qs_All[[#This Row],[Question / Sub-question]]="Not used"), "-", "")</f>
        <v>-</v>
      </c>
      <c r="F152" s="427" t="str">
        <f>IF(OR(TBL_ADD_04_Qs_All[[#This Row],[Required?]]="No", TBL_ADD_04_Qs_All[[#This Row],[Section]]="IntSV", TBL_ADD_04_Qs_All[[#This Row],[Question / Sub-question]]="Not used"), "-", IF(TBL_ADD_04_Qs_All[[#This Row],[Type]]="Question", TBL_ADD_04_Qs_All[[#This Row],[No.subs]]*500, "-"))</f>
        <v>-</v>
      </c>
      <c r="G15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2" s="426" t="str">
        <f t="array" ref="I15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2" s="424" t="s">
        <v>332</v>
      </c>
      <c r="K152" s="426" t="s">
        <v>1313</v>
      </c>
      <c r="L152" s="428" t="s">
        <v>569</v>
      </c>
      <c r="M152" s="426" t="s">
        <v>479</v>
      </c>
      <c r="N15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3" spans="1:15">
      <c r="A153" s="424" t="str">
        <f>IF(TBL_ADD_04_Qs_All[[#This Row],[Type]]="Question", K154, IF(TBL_ADD_04_Qs_All[[#This Row],[Sub_No]]="N/A", "-", CONCATENATE(TBL_ADD_04_Qs_All[[#This Row],[Q_No]], TBL_ADD_04_Qs_All[[#This Row],[Sub_No]])))</f>
        <v>Q4.1.4</v>
      </c>
      <c r="B153" s="424" t="s">
        <v>152</v>
      </c>
      <c r="C15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3" s="426" t="str">
        <f>IF(OR(TBL_ADD_04_Qs_All[[#This Row],[Type]]="Overview", TBL_ADD_04_Qs_All[[#This Row],[Type]]="Sub-question", TBL_ADD_04_Qs_All[[#This Row],[Required?]]="No", TBL_ADD_04_Qs_All[[#This Row],[Section]]="IntSV", TBL_ADD_04_Qs_All[[#This Row],[Question / Sub-question]]="Not used"), "-", "")</f>
        <v>-</v>
      </c>
      <c r="E153" s="425" t="str">
        <f>IF(OR(TBL_ADD_04_Qs_All[[#This Row],[Type]]="Overview", TBL_ADD_04_Qs_All[[#This Row],[Type]]="Sub-question", TBL_ADD_04_Qs_All[[#This Row],[Required?]]="No", TBL_ADD_04_Qs_All[[#This Row],[Section]]="IntSV", TBL_ADD_04_Qs_All[[#This Row],[Question / Sub-question]]="Not used"), "-", "")</f>
        <v>-</v>
      </c>
      <c r="F153" s="427" t="str">
        <f>IF(OR(TBL_ADD_04_Qs_All[[#This Row],[Required?]]="No", TBL_ADD_04_Qs_All[[#This Row],[Section]]="IntSV", TBL_ADD_04_Qs_All[[#This Row],[Question / Sub-question]]="Not used"), "-", IF(TBL_ADD_04_Qs_All[[#This Row],[Type]]="Question", TBL_ADD_04_Qs_All[[#This Row],[No.subs]]*500, "-"))</f>
        <v>-</v>
      </c>
      <c r="G15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3" s="426" t="str">
        <f t="array" ref="I15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3" s="424" t="s">
        <v>332</v>
      </c>
      <c r="K153" s="426" t="s">
        <v>1313</v>
      </c>
      <c r="L153" s="428" t="s">
        <v>570</v>
      </c>
      <c r="M153" s="426" t="s">
        <v>479</v>
      </c>
      <c r="N15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4" spans="1:15">
      <c r="A154" s="424" t="str">
        <f>IF(TBL_ADD_04_Qs_All[[#This Row],[Type]]="Question", K155, IF(TBL_ADD_04_Qs_All[[#This Row],[Sub_No]]="N/A", "-", CONCATENATE(TBL_ADD_04_Qs_All[[#This Row],[Q_No]], TBL_ADD_04_Qs_All[[#This Row],[Sub_No]])))</f>
        <v>Q4.1.5</v>
      </c>
      <c r="B154" s="424" t="s">
        <v>152</v>
      </c>
      <c r="C15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4" s="426" t="str">
        <f>IF(OR(TBL_ADD_04_Qs_All[[#This Row],[Type]]="Overview", TBL_ADD_04_Qs_All[[#This Row],[Type]]="Sub-question", TBL_ADD_04_Qs_All[[#This Row],[Required?]]="No", TBL_ADD_04_Qs_All[[#This Row],[Section]]="IntSV", TBL_ADD_04_Qs_All[[#This Row],[Question / Sub-question]]="Not used"), "-", "")</f>
        <v>-</v>
      </c>
      <c r="E154" s="425" t="str">
        <f>IF(OR(TBL_ADD_04_Qs_All[[#This Row],[Type]]="Overview", TBL_ADD_04_Qs_All[[#This Row],[Type]]="Sub-question", TBL_ADD_04_Qs_All[[#This Row],[Required?]]="No", TBL_ADD_04_Qs_All[[#This Row],[Section]]="IntSV", TBL_ADD_04_Qs_All[[#This Row],[Question / Sub-question]]="Not used"), "-", "")</f>
        <v>-</v>
      </c>
      <c r="F154" s="427" t="str">
        <f>IF(OR(TBL_ADD_04_Qs_All[[#This Row],[Required?]]="No", TBL_ADD_04_Qs_All[[#This Row],[Section]]="IntSV", TBL_ADD_04_Qs_All[[#This Row],[Question / Sub-question]]="Not used"), "-", IF(TBL_ADD_04_Qs_All[[#This Row],[Type]]="Question", TBL_ADD_04_Qs_All[[#This Row],[No.subs]]*500, "-"))</f>
        <v>-</v>
      </c>
      <c r="G15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4" s="426" t="str">
        <f t="array" ref="I15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4" s="424" t="s">
        <v>332</v>
      </c>
      <c r="K154" s="426" t="s">
        <v>1313</v>
      </c>
      <c r="L154" s="428" t="s">
        <v>571</v>
      </c>
      <c r="M154" s="426" t="s">
        <v>479</v>
      </c>
      <c r="N15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5" spans="1:15">
      <c r="A155" s="424" t="str">
        <f>IF(TBL_ADD_04_Qs_All[[#This Row],[Type]]="Question", K156, IF(TBL_ADD_04_Qs_All[[#This Row],[Sub_No]]="N/A", "-", CONCATENATE(TBL_ADD_04_Qs_All[[#This Row],[Q_No]], TBL_ADD_04_Qs_All[[#This Row],[Sub_No]])))</f>
        <v>Q4.1.6</v>
      </c>
      <c r="B155" s="424" t="s">
        <v>152</v>
      </c>
      <c r="C15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5" s="426" t="str">
        <f>IF(OR(TBL_ADD_04_Qs_All[[#This Row],[Type]]="Overview", TBL_ADD_04_Qs_All[[#This Row],[Type]]="Sub-question", TBL_ADD_04_Qs_All[[#This Row],[Required?]]="No", TBL_ADD_04_Qs_All[[#This Row],[Section]]="IntSV", TBL_ADD_04_Qs_All[[#This Row],[Question / Sub-question]]="Not used"), "-", "")</f>
        <v>-</v>
      </c>
      <c r="E155" s="425" t="str">
        <f>IF(OR(TBL_ADD_04_Qs_All[[#This Row],[Type]]="Overview", TBL_ADD_04_Qs_All[[#This Row],[Type]]="Sub-question", TBL_ADD_04_Qs_All[[#This Row],[Required?]]="No", TBL_ADD_04_Qs_All[[#This Row],[Section]]="IntSV", TBL_ADD_04_Qs_All[[#This Row],[Question / Sub-question]]="Not used"), "-", "")</f>
        <v>-</v>
      </c>
      <c r="F155" s="427" t="str">
        <f>IF(OR(TBL_ADD_04_Qs_All[[#This Row],[Required?]]="No", TBL_ADD_04_Qs_All[[#This Row],[Section]]="IntSV", TBL_ADD_04_Qs_All[[#This Row],[Question / Sub-question]]="Not used"), "-", IF(TBL_ADD_04_Qs_All[[#This Row],[Type]]="Question", TBL_ADD_04_Qs_All[[#This Row],[No.subs]]*500, "-"))</f>
        <v>-</v>
      </c>
      <c r="G15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5" s="426" t="str">
        <f t="array" ref="I15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5" s="424" t="s">
        <v>332</v>
      </c>
      <c r="K155" s="426" t="s">
        <v>1313</v>
      </c>
      <c r="L155" s="428" t="s">
        <v>573</v>
      </c>
      <c r="M155" s="426" t="s">
        <v>479</v>
      </c>
      <c r="N15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6" spans="1:15">
      <c r="A156" s="424" t="str">
        <f>IF(TBL_ADD_04_Qs_All[[#This Row],[Type]]="Question", K157, IF(TBL_ADD_04_Qs_All[[#This Row],[Sub_No]]="N/A", "-", CONCATENATE(TBL_ADD_04_Qs_All[[#This Row],[Q_No]], TBL_ADD_04_Qs_All[[#This Row],[Sub_No]])))</f>
        <v>Q4.1.7</v>
      </c>
      <c r="B156" s="424" t="s">
        <v>152</v>
      </c>
      <c r="C15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6" s="426" t="str">
        <f>IF(OR(TBL_ADD_04_Qs_All[[#This Row],[Type]]="Overview", TBL_ADD_04_Qs_All[[#This Row],[Type]]="Sub-question", TBL_ADD_04_Qs_All[[#This Row],[Required?]]="No", TBL_ADD_04_Qs_All[[#This Row],[Section]]="IntSV", TBL_ADD_04_Qs_All[[#This Row],[Question / Sub-question]]="Not used"), "-", "")</f>
        <v>-</v>
      </c>
      <c r="E156" s="425" t="str">
        <f>IF(OR(TBL_ADD_04_Qs_All[[#This Row],[Type]]="Overview", TBL_ADD_04_Qs_All[[#This Row],[Type]]="Sub-question", TBL_ADD_04_Qs_All[[#This Row],[Required?]]="No", TBL_ADD_04_Qs_All[[#This Row],[Section]]="IntSV", TBL_ADD_04_Qs_All[[#This Row],[Question / Sub-question]]="Not used"), "-", "")</f>
        <v>-</v>
      </c>
      <c r="F156" s="427" t="str">
        <f>IF(OR(TBL_ADD_04_Qs_All[[#This Row],[Required?]]="No", TBL_ADD_04_Qs_All[[#This Row],[Section]]="IntSV", TBL_ADD_04_Qs_All[[#This Row],[Question / Sub-question]]="Not used"), "-", IF(TBL_ADD_04_Qs_All[[#This Row],[Type]]="Question", TBL_ADD_04_Qs_All[[#This Row],[No.subs]]*500, "-"))</f>
        <v>-</v>
      </c>
      <c r="G15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6" s="426" t="str">
        <f t="array" ref="I15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6" s="424" t="s">
        <v>332</v>
      </c>
      <c r="K156" s="426" t="s">
        <v>1313</v>
      </c>
      <c r="L156" s="428" t="s">
        <v>574</v>
      </c>
      <c r="M156" s="426" t="s">
        <v>479</v>
      </c>
      <c r="N15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7" spans="1:15">
      <c r="A157" s="424" t="str">
        <f>IF(TBL_ADD_04_Qs_All[[#This Row],[Type]]="Question", K158, IF(TBL_ADD_04_Qs_All[[#This Row],[Sub_No]]="N/A", "-", CONCATENATE(TBL_ADD_04_Qs_All[[#This Row],[Q_No]], TBL_ADD_04_Qs_All[[#This Row],[Sub_No]])))</f>
        <v>Q4.1.8</v>
      </c>
      <c r="B157" s="424" t="s">
        <v>152</v>
      </c>
      <c r="C15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7" s="426" t="str">
        <f>IF(OR(TBL_ADD_04_Qs_All[[#This Row],[Type]]="Overview", TBL_ADD_04_Qs_All[[#This Row],[Type]]="Sub-question", TBL_ADD_04_Qs_All[[#This Row],[Required?]]="No", TBL_ADD_04_Qs_All[[#This Row],[Section]]="IntSV", TBL_ADD_04_Qs_All[[#This Row],[Question / Sub-question]]="Not used"), "-", "")</f>
        <v>-</v>
      </c>
      <c r="E157" s="425" t="str">
        <f>IF(OR(TBL_ADD_04_Qs_All[[#This Row],[Type]]="Overview", TBL_ADD_04_Qs_All[[#This Row],[Type]]="Sub-question", TBL_ADD_04_Qs_All[[#This Row],[Required?]]="No", TBL_ADD_04_Qs_All[[#This Row],[Section]]="IntSV", TBL_ADD_04_Qs_All[[#This Row],[Question / Sub-question]]="Not used"), "-", "")</f>
        <v>-</v>
      </c>
      <c r="F157" s="427" t="str">
        <f>IF(OR(TBL_ADD_04_Qs_All[[#This Row],[Required?]]="No", TBL_ADD_04_Qs_All[[#This Row],[Section]]="IntSV", TBL_ADD_04_Qs_All[[#This Row],[Question / Sub-question]]="Not used"), "-", IF(TBL_ADD_04_Qs_All[[#This Row],[Type]]="Question", TBL_ADD_04_Qs_All[[#This Row],[No.subs]]*500, "-"))</f>
        <v>-</v>
      </c>
      <c r="G15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7" s="426" t="str">
        <f t="array" ref="I15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7" s="424" t="s">
        <v>332</v>
      </c>
      <c r="K157" s="426" t="s">
        <v>1313</v>
      </c>
      <c r="L157" s="428" t="s">
        <v>575</v>
      </c>
      <c r="M157" s="426" t="s">
        <v>479</v>
      </c>
      <c r="N15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8" spans="1:15">
      <c r="A158" s="424" t="str">
        <f>IF(TBL_ADD_04_Qs_All[[#This Row],[Type]]="Question", K159, IF(TBL_ADD_04_Qs_All[[#This Row],[Sub_No]]="N/A", "-", CONCATENATE(TBL_ADD_04_Qs_All[[#This Row],[Q_No]], TBL_ADD_04_Qs_All[[#This Row],[Sub_No]])))</f>
        <v>Q4.1.9</v>
      </c>
      <c r="B158" s="424" t="s">
        <v>152</v>
      </c>
      <c r="C15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8" s="426" t="str">
        <f>IF(OR(TBL_ADD_04_Qs_All[[#This Row],[Type]]="Overview", TBL_ADD_04_Qs_All[[#This Row],[Type]]="Sub-question", TBL_ADD_04_Qs_All[[#This Row],[Required?]]="No", TBL_ADD_04_Qs_All[[#This Row],[Section]]="IntSV", TBL_ADD_04_Qs_All[[#This Row],[Question / Sub-question]]="Not used"), "-", "")</f>
        <v>-</v>
      </c>
      <c r="E158" s="425" t="str">
        <f>IF(OR(TBL_ADD_04_Qs_All[[#This Row],[Type]]="Overview", TBL_ADD_04_Qs_All[[#This Row],[Type]]="Sub-question", TBL_ADD_04_Qs_All[[#This Row],[Required?]]="No", TBL_ADD_04_Qs_All[[#This Row],[Section]]="IntSV", TBL_ADD_04_Qs_All[[#This Row],[Question / Sub-question]]="Not used"), "-", "")</f>
        <v>-</v>
      </c>
      <c r="F158" s="427" t="str">
        <f>IF(OR(TBL_ADD_04_Qs_All[[#This Row],[Required?]]="No", TBL_ADD_04_Qs_All[[#This Row],[Section]]="IntSV", TBL_ADD_04_Qs_All[[#This Row],[Question / Sub-question]]="Not used"), "-", IF(TBL_ADD_04_Qs_All[[#This Row],[Type]]="Question", TBL_ADD_04_Qs_All[[#This Row],[No.subs]]*500, "-"))</f>
        <v>-</v>
      </c>
      <c r="G15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8" s="426" t="str">
        <f t="array" ref="I15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8" s="424" t="s">
        <v>332</v>
      </c>
      <c r="K158" s="426" t="s">
        <v>1313</v>
      </c>
      <c r="L158" s="428" t="s">
        <v>576</v>
      </c>
      <c r="M158" s="426" t="s">
        <v>479</v>
      </c>
      <c r="N15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59" spans="1:15">
      <c r="A159" s="424" t="str">
        <f>IF(TBL_ADD_04_Qs_All[[#This Row],[Type]]="Question", K160, IF(TBL_ADD_04_Qs_All[[#This Row],[Sub_No]]="N/A", "-", CONCATENATE(TBL_ADD_04_Qs_All[[#This Row],[Q_No]], TBL_ADD_04_Qs_All[[#This Row],[Sub_No]])))</f>
        <v>Q4.1.10</v>
      </c>
      <c r="B159" s="424" t="s">
        <v>152</v>
      </c>
      <c r="C15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59" s="426" t="str">
        <f>IF(OR(TBL_ADD_04_Qs_All[[#This Row],[Type]]="Overview", TBL_ADD_04_Qs_All[[#This Row],[Type]]="Sub-question", TBL_ADD_04_Qs_All[[#This Row],[Required?]]="No", TBL_ADD_04_Qs_All[[#This Row],[Section]]="IntSV", TBL_ADD_04_Qs_All[[#This Row],[Question / Sub-question]]="Not used"), "-", "")</f>
        <v>-</v>
      </c>
      <c r="E159" s="425" t="str">
        <f>IF(OR(TBL_ADD_04_Qs_All[[#This Row],[Type]]="Overview", TBL_ADD_04_Qs_All[[#This Row],[Type]]="Sub-question", TBL_ADD_04_Qs_All[[#This Row],[Required?]]="No", TBL_ADD_04_Qs_All[[#This Row],[Section]]="IntSV", TBL_ADD_04_Qs_All[[#This Row],[Question / Sub-question]]="Not used"), "-", "")</f>
        <v>-</v>
      </c>
      <c r="F159" s="427" t="str">
        <f>IF(OR(TBL_ADD_04_Qs_All[[#This Row],[Required?]]="No", TBL_ADD_04_Qs_All[[#This Row],[Section]]="IntSV", TBL_ADD_04_Qs_All[[#This Row],[Question / Sub-question]]="Not used"), "-", IF(TBL_ADD_04_Qs_All[[#This Row],[Type]]="Question", TBL_ADD_04_Qs_All[[#This Row],[No.subs]]*500, "-"))</f>
        <v>-</v>
      </c>
      <c r="G15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5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59" s="426" t="str">
        <f t="array" ref="I15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59" s="424" t="s">
        <v>332</v>
      </c>
      <c r="K159" s="426" t="s">
        <v>1313</v>
      </c>
      <c r="L159" s="428" t="s">
        <v>577</v>
      </c>
      <c r="M159" s="426" t="s">
        <v>479</v>
      </c>
      <c r="N15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5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0" spans="1:15" ht="13">
      <c r="A160" s="424" t="str">
        <f>IF(TBL_ADD_04_Qs_All[[#This Row],[Type]]="Question", K161, IF(TBL_ADD_04_Qs_All[[#This Row],[Sub_No]]="N/A", "-", CONCATENATE(TBL_ADD_04_Qs_All[[#This Row],[Q_No]], TBL_ADD_04_Qs_All[[#This Row],[Sub_No]])))</f>
        <v>Q4.2</v>
      </c>
      <c r="B160" s="424" t="s">
        <v>152</v>
      </c>
      <c r="C16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60" s="426" t="str">
        <f>IF(OR(TBL_ADD_04_Qs_All[[#This Row],[Type]]="Overview", TBL_ADD_04_Qs_All[[#This Row],[Type]]="Sub-question", TBL_ADD_04_Qs_All[[#This Row],[Required?]]="No", TBL_ADD_04_Qs_All[[#This Row],[Section]]="IntSV", TBL_ADD_04_Qs_All[[#This Row],[Question / Sub-question]]="Not used"), "-", "")</f>
        <v>-</v>
      </c>
      <c r="E160" s="425" t="str">
        <f>IF(OR(TBL_ADD_04_Qs_All[[#This Row],[Type]]="Overview", TBL_ADD_04_Qs_All[[#This Row],[Type]]="Sub-question", TBL_ADD_04_Qs_All[[#This Row],[Required?]]="No", TBL_ADD_04_Qs_All[[#This Row],[Section]]="IntSV", TBL_ADD_04_Qs_All[[#This Row],[Question / Sub-question]]="Not used"), "-", "")</f>
        <v>-</v>
      </c>
      <c r="F160" s="427" t="str">
        <f>IF(OR(TBL_ADD_04_Qs_All[[#This Row],[Required?]]="No", TBL_ADD_04_Qs_All[[#This Row],[Section]]="IntSV", TBL_ADD_04_Qs_All[[#This Row],[Question / Sub-question]]="Not used"), "-", IF(TBL_ADD_04_Qs_All[[#This Row],[Type]]="Question", TBL_ADD_04_Qs_All[[#This Row],[No.subs]]*500, "-"))</f>
        <v>-</v>
      </c>
      <c r="G16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160"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60" s="426">
        <f t="array" ref="I16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60" s="424" t="s">
        <v>146</v>
      </c>
      <c r="K160" s="426" t="s">
        <v>24</v>
      </c>
      <c r="L160" s="426" t="s">
        <v>24</v>
      </c>
      <c r="M160" s="426" t="s">
        <v>479</v>
      </c>
      <c r="N16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1" spans="1:15">
      <c r="A161" s="424" t="str">
        <f>IF(TBL_ADD_04_Qs_All[[#This Row],[Type]]="Question", K162, IF(TBL_ADD_04_Qs_All[[#This Row],[Sub_No]]="N/A", "-", CONCATENATE(TBL_ADD_04_Qs_All[[#This Row],[Q_No]], TBL_ADD_04_Qs_All[[#This Row],[Sub_No]])))</f>
        <v>Q4.2.1</v>
      </c>
      <c r="B161" s="424" t="s">
        <v>152</v>
      </c>
      <c r="C16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1" s="426" t="str">
        <f>IF(OR(TBL_ADD_04_Qs_All[[#This Row],[Type]]="Overview", TBL_ADD_04_Qs_All[[#This Row],[Type]]="Sub-question", TBL_ADD_04_Qs_All[[#This Row],[Required?]]="No", TBL_ADD_04_Qs_All[[#This Row],[Section]]="IntSV", TBL_ADD_04_Qs_All[[#This Row],[Question / Sub-question]]="Not used"), "-", "")</f>
        <v>-</v>
      </c>
      <c r="E161" s="425" t="str">
        <f>IF(OR(TBL_ADD_04_Qs_All[[#This Row],[Type]]="Overview", TBL_ADD_04_Qs_All[[#This Row],[Type]]="Sub-question", TBL_ADD_04_Qs_All[[#This Row],[Required?]]="No", TBL_ADD_04_Qs_All[[#This Row],[Section]]="IntSV", TBL_ADD_04_Qs_All[[#This Row],[Question / Sub-question]]="Not used"), "-", "")</f>
        <v>-</v>
      </c>
      <c r="F161" s="427" t="str">
        <f>IF(OR(TBL_ADD_04_Qs_All[[#This Row],[Required?]]="No", TBL_ADD_04_Qs_All[[#This Row],[Section]]="IntSV", TBL_ADD_04_Qs_All[[#This Row],[Question / Sub-question]]="Not used"), "-", IF(TBL_ADD_04_Qs_All[[#This Row],[Type]]="Question", TBL_ADD_04_Qs_All[[#This Row],[No.subs]]*500, "-"))</f>
        <v>-</v>
      </c>
      <c r="G16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1" s="426" t="str">
        <f t="array" ref="I16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1" s="424" t="s">
        <v>332</v>
      </c>
      <c r="K161" s="426" t="s">
        <v>1314</v>
      </c>
      <c r="L161" s="428" t="s">
        <v>568</v>
      </c>
      <c r="M161" s="426" t="s">
        <v>479</v>
      </c>
      <c r="N16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2" spans="1:15">
      <c r="A162" s="424" t="str">
        <f>IF(TBL_ADD_04_Qs_All[[#This Row],[Type]]="Question", K163, IF(TBL_ADD_04_Qs_All[[#This Row],[Sub_No]]="N/A", "-", CONCATENATE(TBL_ADD_04_Qs_All[[#This Row],[Q_No]], TBL_ADD_04_Qs_All[[#This Row],[Sub_No]])))</f>
        <v>Q4.2.2</v>
      </c>
      <c r="B162" s="424" t="s">
        <v>152</v>
      </c>
      <c r="C16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2" s="426" t="str">
        <f>IF(OR(TBL_ADD_04_Qs_All[[#This Row],[Type]]="Overview", TBL_ADD_04_Qs_All[[#This Row],[Type]]="Sub-question", TBL_ADD_04_Qs_All[[#This Row],[Required?]]="No", TBL_ADD_04_Qs_All[[#This Row],[Section]]="IntSV", TBL_ADD_04_Qs_All[[#This Row],[Question / Sub-question]]="Not used"), "-", "")</f>
        <v>-</v>
      </c>
      <c r="E162" s="425" t="str">
        <f>IF(OR(TBL_ADD_04_Qs_All[[#This Row],[Type]]="Overview", TBL_ADD_04_Qs_All[[#This Row],[Type]]="Sub-question", TBL_ADD_04_Qs_All[[#This Row],[Required?]]="No", TBL_ADD_04_Qs_All[[#This Row],[Section]]="IntSV", TBL_ADD_04_Qs_All[[#This Row],[Question / Sub-question]]="Not used"), "-", "")</f>
        <v>-</v>
      </c>
      <c r="F162" s="427" t="str">
        <f>IF(OR(TBL_ADD_04_Qs_All[[#This Row],[Required?]]="No", TBL_ADD_04_Qs_All[[#This Row],[Section]]="IntSV", TBL_ADD_04_Qs_All[[#This Row],[Question / Sub-question]]="Not used"), "-", IF(TBL_ADD_04_Qs_All[[#This Row],[Type]]="Question", TBL_ADD_04_Qs_All[[#This Row],[No.subs]]*500, "-"))</f>
        <v>-</v>
      </c>
      <c r="G16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2" s="426" t="str">
        <f t="array" ref="I16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2" s="424" t="s">
        <v>332</v>
      </c>
      <c r="K162" s="426" t="s">
        <v>1314</v>
      </c>
      <c r="L162" s="428" t="s">
        <v>572</v>
      </c>
      <c r="M162" s="426" t="s">
        <v>479</v>
      </c>
      <c r="N16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3" spans="1:15">
      <c r="A163" s="424" t="str">
        <f>IF(TBL_ADD_04_Qs_All[[#This Row],[Type]]="Question", K164, IF(TBL_ADD_04_Qs_All[[#This Row],[Sub_No]]="N/A", "-", CONCATENATE(TBL_ADD_04_Qs_All[[#This Row],[Q_No]], TBL_ADD_04_Qs_All[[#This Row],[Sub_No]])))</f>
        <v>Q4.2.3</v>
      </c>
      <c r="B163" s="424" t="s">
        <v>152</v>
      </c>
      <c r="C16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3" s="426" t="str">
        <f>IF(OR(TBL_ADD_04_Qs_All[[#This Row],[Type]]="Overview", TBL_ADD_04_Qs_All[[#This Row],[Type]]="Sub-question", TBL_ADD_04_Qs_All[[#This Row],[Required?]]="No", TBL_ADD_04_Qs_All[[#This Row],[Section]]="IntSV", TBL_ADD_04_Qs_All[[#This Row],[Question / Sub-question]]="Not used"), "-", "")</f>
        <v>-</v>
      </c>
      <c r="E163" s="425" t="str">
        <f>IF(OR(TBL_ADD_04_Qs_All[[#This Row],[Type]]="Overview", TBL_ADD_04_Qs_All[[#This Row],[Type]]="Sub-question", TBL_ADD_04_Qs_All[[#This Row],[Required?]]="No", TBL_ADD_04_Qs_All[[#This Row],[Section]]="IntSV", TBL_ADD_04_Qs_All[[#This Row],[Question / Sub-question]]="Not used"), "-", "")</f>
        <v>-</v>
      </c>
      <c r="F163" s="427" t="str">
        <f>IF(OR(TBL_ADD_04_Qs_All[[#This Row],[Required?]]="No", TBL_ADD_04_Qs_All[[#This Row],[Section]]="IntSV", TBL_ADD_04_Qs_All[[#This Row],[Question / Sub-question]]="Not used"), "-", IF(TBL_ADD_04_Qs_All[[#This Row],[Type]]="Question", TBL_ADD_04_Qs_All[[#This Row],[No.subs]]*500, "-"))</f>
        <v>-</v>
      </c>
      <c r="G16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3" s="426" t="str">
        <f t="array" ref="I16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3" s="424" t="s">
        <v>332</v>
      </c>
      <c r="K163" s="426" t="s">
        <v>1314</v>
      </c>
      <c r="L163" s="428" t="s">
        <v>569</v>
      </c>
      <c r="M163" s="426" t="s">
        <v>479</v>
      </c>
      <c r="N16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4" spans="1:15">
      <c r="A164" s="424" t="str">
        <f>IF(TBL_ADD_04_Qs_All[[#This Row],[Type]]="Question", K165, IF(TBL_ADD_04_Qs_All[[#This Row],[Sub_No]]="N/A", "-", CONCATENATE(TBL_ADD_04_Qs_All[[#This Row],[Q_No]], TBL_ADD_04_Qs_All[[#This Row],[Sub_No]])))</f>
        <v>Q4.2.4</v>
      </c>
      <c r="B164" s="424" t="s">
        <v>152</v>
      </c>
      <c r="C16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4" s="426" t="str">
        <f>IF(OR(TBL_ADD_04_Qs_All[[#This Row],[Type]]="Overview", TBL_ADD_04_Qs_All[[#This Row],[Type]]="Sub-question", TBL_ADD_04_Qs_All[[#This Row],[Required?]]="No", TBL_ADD_04_Qs_All[[#This Row],[Section]]="IntSV", TBL_ADD_04_Qs_All[[#This Row],[Question / Sub-question]]="Not used"), "-", "")</f>
        <v>-</v>
      </c>
      <c r="E164" s="425" t="str">
        <f>IF(OR(TBL_ADD_04_Qs_All[[#This Row],[Type]]="Overview", TBL_ADD_04_Qs_All[[#This Row],[Type]]="Sub-question", TBL_ADD_04_Qs_All[[#This Row],[Required?]]="No", TBL_ADD_04_Qs_All[[#This Row],[Section]]="IntSV", TBL_ADD_04_Qs_All[[#This Row],[Question / Sub-question]]="Not used"), "-", "")</f>
        <v>-</v>
      </c>
      <c r="F164" s="427" t="str">
        <f>IF(OR(TBL_ADD_04_Qs_All[[#This Row],[Required?]]="No", TBL_ADD_04_Qs_All[[#This Row],[Section]]="IntSV", TBL_ADD_04_Qs_All[[#This Row],[Question / Sub-question]]="Not used"), "-", IF(TBL_ADD_04_Qs_All[[#This Row],[Type]]="Question", TBL_ADD_04_Qs_All[[#This Row],[No.subs]]*500, "-"))</f>
        <v>-</v>
      </c>
      <c r="G16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4" s="426" t="str">
        <f t="array" ref="I16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4" s="424" t="s">
        <v>332</v>
      </c>
      <c r="K164" s="426" t="s">
        <v>1314</v>
      </c>
      <c r="L164" s="428" t="s">
        <v>570</v>
      </c>
      <c r="M164" s="426" t="s">
        <v>479</v>
      </c>
      <c r="N16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5" spans="1:15">
      <c r="A165" s="424" t="str">
        <f>IF(TBL_ADD_04_Qs_All[[#This Row],[Type]]="Question", K166, IF(TBL_ADD_04_Qs_All[[#This Row],[Sub_No]]="N/A", "-", CONCATENATE(TBL_ADD_04_Qs_All[[#This Row],[Q_No]], TBL_ADD_04_Qs_All[[#This Row],[Sub_No]])))</f>
        <v>Q4.2.5</v>
      </c>
      <c r="B165" s="424" t="s">
        <v>152</v>
      </c>
      <c r="C16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5" s="426" t="str">
        <f>IF(OR(TBL_ADD_04_Qs_All[[#This Row],[Type]]="Overview", TBL_ADD_04_Qs_All[[#This Row],[Type]]="Sub-question", TBL_ADD_04_Qs_All[[#This Row],[Required?]]="No", TBL_ADD_04_Qs_All[[#This Row],[Section]]="IntSV", TBL_ADD_04_Qs_All[[#This Row],[Question / Sub-question]]="Not used"), "-", "")</f>
        <v>-</v>
      </c>
      <c r="E165" s="425" t="str">
        <f>IF(OR(TBL_ADD_04_Qs_All[[#This Row],[Type]]="Overview", TBL_ADD_04_Qs_All[[#This Row],[Type]]="Sub-question", TBL_ADD_04_Qs_All[[#This Row],[Required?]]="No", TBL_ADD_04_Qs_All[[#This Row],[Section]]="IntSV", TBL_ADD_04_Qs_All[[#This Row],[Question / Sub-question]]="Not used"), "-", "")</f>
        <v>-</v>
      </c>
      <c r="F165" s="427" t="str">
        <f>IF(OR(TBL_ADD_04_Qs_All[[#This Row],[Required?]]="No", TBL_ADD_04_Qs_All[[#This Row],[Section]]="IntSV", TBL_ADD_04_Qs_All[[#This Row],[Question / Sub-question]]="Not used"), "-", IF(TBL_ADD_04_Qs_All[[#This Row],[Type]]="Question", TBL_ADD_04_Qs_All[[#This Row],[No.subs]]*500, "-"))</f>
        <v>-</v>
      </c>
      <c r="G16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5" s="426" t="str">
        <f t="array" ref="I16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5" s="424" t="s">
        <v>332</v>
      </c>
      <c r="K165" s="426" t="s">
        <v>1314</v>
      </c>
      <c r="L165" s="428" t="s">
        <v>571</v>
      </c>
      <c r="M165" s="426" t="s">
        <v>479</v>
      </c>
      <c r="N16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6" spans="1:15">
      <c r="A166" s="424" t="str">
        <f>IF(TBL_ADD_04_Qs_All[[#This Row],[Type]]="Question", K167, IF(TBL_ADD_04_Qs_All[[#This Row],[Sub_No]]="N/A", "-", CONCATENATE(TBL_ADD_04_Qs_All[[#This Row],[Q_No]], TBL_ADD_04_Qs_All[[#This Row],[Sub_No]])))</f>
        <v>Q4.2.6</v>
      </c>
      <c r="B166" s="424" t="s">
        <v>152</v>
      </c>
      <c r="C16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6" s="426" t="str">
        <f>IF(OR(TBL_ADD_04_Qs_All[[#This Row],[Type]]="Overview", TBL_ADD_04_Qs_All[[#This Row],[Type]]="Sub-question", TBL_ADD_04_Qs_All[[#This Row],[Required?]]="No", TBL_ADD_04_Qs_All[[#This Row],[Section]]="IntSV", TBL_ADD_04_Qs_All[[#This Row],[Question / Sub-question]]="Not used"), "-", "")</f>
        <v>-</v>
      </c>
      <c r="E166" s="425" t="str">
        <f>IF(OR(TBL_ADD_04_Qs_All[[#This Row],[Type]]="Overview", TBL_ADD_04_Qs_All[[#This Row],[Type]]="Sub-question", TBL_ADD_04_Qs_All[[#This Row],[Required?]]="No", TBL_ADD_04_Qs_All[[#This Row],[Section]]="IntSV", TBL_ADD_04_Qs_All[[#This Row],[Question / Sub-question]]="Not used"), "-", "")</f>
        <v>-</v>
      </c>
      <c r="F166" s="427" t="str">
        <f>IF(OR(TBL_ADD_04_Qs_All[[#This Row],[Required?]]="No", TBL_ADD_04_Qs_All[[#This Row],[Section]]="IntSV", TBL_ADD_04_Qs_All[[#This Row],[Question / Sub-question]]="Not used"), "-", IF(TBL_ADD_04_Qs_All[[#This Row],[Type]]="Question", TBL_ADD_04_Qs_All[[#This Row],[No.subs]]*500, "-"))</f>
        <v>-</v>
      </c>
      <c r="G16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6" s="426" t="str">
        <f t="array" ref="I16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6" s="424" t="s">
        <v>332</v>
      </c>
      <c r="K166" s="426" t="s">
        <v>1314</v>
      </c>
      <c r="L166" s="428" t="s">
        <v>573</v>
      </c>
      <c r="M166" s="426" t="s">
        <v>479</v>
      </c>
      <c r="N16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7" spans="1:15">
      <c r="A167" s="424" t="str">
        <f>IF(TBL_ADD_04_Qs_All[[#This Row],[Type]]="Question", K168, IF(TBL_ADD_04_Qs_All[[#This Row],[Sub_No]]="N/A", "-", CONCATENATE(TBL_ADD_04_Qs_All[[#This Row],[Q_No]], TBL_ADD_04_Qs_All[[#This Row],[Sub_No]])))</f>
        <v>Q4.2.7</v>
      </c>
      <c r="B167" s="424" t="s">
        <v>152</v>
      </c>
      <c r="C16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7" s="426" t="str">
        <f>IF(OR(TBL_ADD_04_Qs_All[[#This Row],[Type]]="Overview", TBL_ADD_04_Qs_All[[#This Row],[Type]]="Sub-question", TBL_ADD_04_Qs_All[[#This Row],[Required?]]="No", TBL_ADD_04_Qs_All[[#This Row],[Section]]="IntSV", TBL_ADD_04_Qs_All[[#This Row],[Question / Sub-question]]="Not used"), "-", "")</f>
        <v>-</v>
      </c>
      <c r="E167" s="425" t="str">
        <f>IF(OR(TBL_ADD_04_Qs_All[[#This Row],[Type]]="Overview", TBL_ADD_04_Qs_All[[#This Row],[Type]]="Sub-question", TBL_ADD_04_Qs_All[[#This Row],[Required?]]="No", TBL_ADD_04_Qs_All[[#This Row],[Section]]="IntSV", TBL_ADD_04_Qs_All[[#This Row],[Question / Sub-question]]="Not used"), "-", "")</f>
        <v>-</v>
      </c>
      <c r="F167" s="427" t="str">
        <f>IF(OR(TBL_ADD_04_Qs_All[[#This Row],[Required?]]="No", TBL_ADD_04_Qs_All[[#This Row],[Section]]="IntSV", TBL_ADD_04_Qs_All[[#This Row],[Question / Sub-question]]="Not used"), "-", IF(TBL_ADD_04_Qs_All[[#This Row],[Type]]="Question", TBL_ADD_04_Qs_All[[#This Row],[No.subs]]*500, "-"))</f>
        <v>-</v>
      </c>
      <c r="G16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7" s="426" t="str">
        <f t="array" ref="I16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7" s="424" t="s">
        <v>332</v>
      </c>
      <c r="K167" s="426" t="s">
        <v>1314</v>
      </c>
      <c r="L167" s="428" t="s">
        <v>574</v>
      </c>
      <c r="M167" s="426" t="s">
        <v>479</v>
      </c>
      <c r="N16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8" spans="1:15">
      <c r="A168" s="424" t="str">
        <f>IF(TBL_ADD_04_Qs_All[[#This Row],[Type]]="Question", K169, IF(TBL_ADD_04_Qs_All[[#This Row],[Sub_No]]="N/A", "-", CONCATENATE(TBL_ADD_04_Qs_All[[#This Row],[Q_No]], TBL_ADD_04_Qs_All[[#This Row],[Sub_No]])))</f>
        <v>Q4.2.8</v>
      </c>
      <c r="B168" s="424" t="s">
        <v>152</v>
      </c>
      <c r="C16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8" s="426" t="str">
        <f>IF(OR(TBL_ADD_04_Qs_All[[#This Row],[Type]]="Overview", TBL_ADD_04_Qs_All[[#This Row],[Type]]="Sub-question", TBL_ADD_04_Qs_All[[#This Row],[Required?]]="No", TBL_ADD_04_Qs_All[[#This Row],[Section]]="IntSV", TBL_ADD_04_Qs_All[[#This Row],[Question / Sub-question]]="Not used"), "-", "")</f>
        <v>-</v>
      </c>
      <c r="E168" s="425" t="str">
        <f>IF(OR(TBL_ADD_04_Qs_All[[#This Row],[Type]]="Overview", TBL_ADD_04_Qs_All[[#This Row],[Type]]="Sub-question", TBL_ADD_04_Qs_All[[#This Row],[Required?]]="No", TBL_ADD_04_Qs_All[[#This Row],[Section]]="IntSV", TBL_ADD_04_Qs_All[[#This Row],[Question / Sub-question]]="Not used"), "-", "")</f>
        <v>-</v>
      </c>
      <c r="F168" s="427" t="str">
        <f>IF(OR(TBL_ADD_04_Qs_All[[#This Row],[Required?]]="No", TBL_ADD_04_Qs_All[[#This Row],[Section]]="IntSV", TBL_ADD_04_Qs_All[[#This Row],[Question / Sub-question]]="Not used"), "-", IF(TBL_ADD_04_Qs_All[[#This Row],[Type]]="Question", TBL_ADD_04_Qs_All[[#This Row],[No.subs]]*500, "-"))</f>
        <v>-</v>
      </c>
      <c r="G16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8" s="426" t="str">
        <f t="array" ref="I16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8" s="424" t="s">
        <v>332</v>
      </c>
      <c r="K168" s="426" t="s">
        <v>1314</v>
      </c>
      <c r="L168" s="428" t="s">
        <v>575</v>
      </c>
      <c r="M168" s="426" t="s">
        <v>479</v>
      </c>
      <c r="N16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69" spans="1:15">
      <c r="A169" s="424" t="str">
        <f>IF(TBL_ADD_04_Qs_All[[#This Row],[Type]]="Question", K170, IF(TBL_ADD_04_Qs_All[[#This Row],[Sub_No]]="N/A", "-", CONCATENATE(TBL_ADD_04_Qs_All[[#This Row],[Q_No]], TBL_ADD_04_Qs_All[[#This Row],[Sub_No]])))</f>
        <v>Q4.2.9</v>
      </c>
      <c r="B169" s="424" t="s">
        <v>152</v>
      </c>
      <c r="C16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69" s="426" t="str">
        <f>IF(OR(TBL_ADD_04_Qs_All[[#This Row],[Type]]="Overview", TBL_ADD_04_Qs_All[[#This Row],[Type]]="Sub-question", TBL_ADD_04_Qs_All[[#This Row],[Required?]]="No", TBL_ADD_04_Qs_All[[#This Row],[Section]]="IntSV", TBL_ADD_04_Qs_All[[#This Row],[Question / Sub-question]]="Not used"), "-", "")</f>
        <v>-</v>
      </c>
      <c r="E169" s="425" t="str">
        <f>IF(OR(TBL_ADD_04_Qs_All[[#This Row],[Type]]="Overview", TBL_ADD_04_Qs_All[[#This Row],[Type]]="Sub-question", TBL_ADD_04_Qs_All[[#This Row],[Required?]]="No", TBL_ADD_04_Qs_All[[#This Row],[Section]]="IntSV", TBL_ADD_04_Qs_All[[#This Row],[Question / Sub-question]]="Not used"), "-", "")</f>
        <v>-</v>
      </c>
      <c r="F169" s="427" t="str">
        <f>IF(OR(TBL_ADD_04_Qs_All[[#This Row],[Required?]]="No", TBL_ADD_04_Qs_All[[#This Row],[Section]]="IntSV", TBL_ADD_04_Qs_All[[#This Row],[Question / Sub-question]]="Not used"), "-", IF(TBL_ADD_04_Qs_All[[#This Row],[Type]]="Question", TBL_ADD_04_Qs_All[[#This Row],[No.subs]]*500, "-"))</f>
        <v>-</v>
      </c>
      <c r="G16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6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69" s="426" t="str">
        <f t="array" ref="I16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69" s="424" t="s">
        <v>332</v>
      </c>
      <c r="K169" s="426" t="s">
        <v>1314</v>
      </c>
      <c r="L169" s="428" t="s">
        <v>576</v>
      </c>
      <c r="M169" s="426" t="s">
        <v>479</v>
      </c>
      <c r="N16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6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0" spans="1:15">
      <c r="A170" s="424" t="str">
        <f>IF(TBL_ADD_04_Qs_All[[#This Row],[Type]]="Question", K171, IF(TBL_ADD_04_Qs_All[[#This Row],[Sub_No]]="N/A", "-", CONCATENATE(TBL_ADD_04_Qs_All[[#This Row],[Q_No]], TBL_ADD_04_Qs_All[[#This Row],[Sub_No]])))</f>
        <v>Q4.2.10</v>
      </c>
      <c r="B170" s="424" t="s">
        <v>152</v>
      </c>
      <c r="C17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0" s="426" t="str">
        <f>IF(OR(TBL_ADD_04_Qs_All[[#This Row],[Type]]="Overview", TBL_ADD_04_Qs_All[[#This Row],[Type]]="Sub-question", TBL_ADD_04_Qs_All[[#This Row],[Required?]]="No", TBL_ADD_04_Qs_All[[#This Row],[Section]]="IntSV", TBL_ADD_04_Qs_All[[#This Row],[Question / Sub-question]]="Not used"), "-", "")</f>
        <v>-</v>
      </c>
      <c r="E170" s="425" t="str">
        <f>IF(OR(TBL_ADD_04_Qs_All[[#This Row],[Type]]="Overview", TBL_ADD_04_Qs_All[[#This Row],[Type]]="Sub-question", TBL_ADD_04_Qs_All[[#This Row],[Required?]]="No", TBL_ADD_04_Qs_All[[#This Row],[Section]]="IntSV", TBL_ADD_04_Qs_All[[#This Row],[Question / Sub-question]]="Not used"), "-", "")</f>
        <v>-</v>
      </c>
      <c r="F170" s="427" t="str">
        <f>IF(OR(TBL_ADD_04_Qs_All[[#This Row],[Required?]]="No", TBL_ADD_04_Qs_All[[#This Row],[Section]]="IntSV", TBL_ADD_04_Qs_All[[#This Row],[Question / Sub-question]]="Not used"), "-", IF(TBL_ADD_04_Qs_All[[#This Row],[Type]]="Question", TBL_ADD_04_Qs_All[[#This Row],[No.subs]]*500, "-"))</f>
        <v>-</v>
      </c>
      <c r="G17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0" s="426" t="str">
        <f t="array" ref="I17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0" s="424" t="s">
        <v>332</v>
      </c>
      <c r="K170" s="426" t="s">
        <v>1314</v>
      </c>
      <c r="L170" s="428" t="s">
        <v>577</v>
      </c>
      <c r="M170" s="426" t="s">
        <v>479</v>
      </c>
      <c r="N17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1" spans="1:15" ht="13">
      <c r="A171" s="424" t="str">
        <f>IF(TBL_ADD_04_Qs_All[[#This Row],[Type]]="Question", K172, IF(TBL_ADD_04_Qs_All[[#This Row],[Sub_No]]="N/A", "-", CONCATENATE(TBL_ADD_04_Qs_All[[#This Row],[Q_No]], TBL_ADD_04_Qs_All[[#This Row],[Sub_No]])))</f>
        <v>Q4.3</v>
      </c>
      <c r="B171" s="424" t="s">
        <v>152</v>
      </c>
      <c r="C17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71" s="426" t="str">
        <f>IF(OR(TBL_ADD_04_Qs_All[[#This Row],[Type]]="Overview", TBL_ADD_04_Qs_All[[#This Row],[Type]]="Sub-question", TBL_ADD_04_Qs_All[[#This Row],[Required?]]="No", TBL_ADD_04_Qs_All[[#This Row],[Section]]="IntSV", TBL_ADD_04_Qs_All[[#This Row],[Question / Sub-question]]="Not used"), "-", "")</f>
        <v>-</v>
      </c>
      <c r="E171" s="425" t="str">
        <f>IF(OR(TBL_ADD_04_Qs_All[[#This Row],[Type]]="Overview", TBL_ADD_04_Qs_All[[#This Row],[Type]]="Sub-question", TBL_ADD_04_Qs_All[[#This Row],[Required?]]="No", TBL_ADD_04_Qs_All[[#This Row],[Section]]="IntSV", TBL_ADD_04_Qs_All[[#This Row],[Question / Sub-question]]="Not used"), "-", "")</f>
        <v>-</v>
      </c>
      <c r="F171" s="427" t="str">
        <f>IF(OR(TBL_ADD_04_Qs_All[[#This Row],[Required?]]="No", TBL_ADD_04_Qs_All[[#This Row],[Section]]="IntSV", TBL_ADD_04_Qs_All[[#This Row],[Question / Sub-question]]="Not used"), "-", IF(TBL_ADD_04_Qs_All[[#This Row],[Type]]="Question", TBL_ADD_04_Qs_All[[#This Row],[No.subs]]*500, "-"))</f>
        <v>-</v>
      </c>
      <c r="G17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171"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71" s="426">
        <f t="array" ref="I17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71" s="424" t="s">
        <v>146</v>
      </c>
      <c r="K171" s="426" t="s">
        <v>24</v>
      </c>
      <c r="L171" s="426" t="s">
        <v>24</v>
      </c>
      <c r="M171" s="426" t="s">
        <v>479</v>
      </c>
      <c r="N17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2" spans="1:15">
      <c r="A172" s="424" t="str">
        <f>IF(TBL_ADD_04_Qs_All[[#This Row],[Type]]="Question", K173, IF(TBL_ADD_04_Qs_All[[#This Row],[Sub_No]]="N/A", "-", CONCATENATE(TBL_ADD_04_Qs_All[[#This Row],[Q_No]], TBL_ADD_04_Qs_All[[#This Row],[Sub_No]])))</f>
        <v>Q4.3.1</v>
      </c>
      <c r="B172" s="424" t="s">
        <v>152</v>
      </c>
      <c r="C17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2" s="426" t="str">
        <f>IF(OR(TBL_ADD_04_Qs_All[[#This Row],[Type]]="Overview", TBL_ADD_04_Qs_All[[#This Row],[Type]]="Sub-question", TBL_ADD_04_Qs_All[[#This Row],[Required?]]="No", TBL_ADD_04_Qs_All[[#This Row],[Section]]="IntSV", TBL_ADD_04_Qs_All[[#This Row],[Question / Sub-question]]="Not used"), "-", "")</f>
        <v>-</v>
      </c>
      <c r="E172" s="425" t="str">
        <f>IF(OR(TBL_ADD_04_Qs_All[[#This Row],[Type]]="Overview", TBL_ADD_04_Qs_All[[#This Row],[Type]]="Sub-question", TBL_ADD_04_Qs_All[[#This Row],[Required?]]="No", TBL_ADD_04_Qs_All[[#This Row],[Section]]="IntSV", TBL_ADD_04_Qs_All[[#This Row],[Question / Sub-question]]="Not used"), "-", "")</f>
        <v>-</v>
      </c>
      <c r="F172" s="427" t="str">
        <f>IF(OR(TBL_ADD_04_Qs_All[[#This Row],[Required?]]="No", TBL_ADD_04_Qs_All[[#This Row],[Section]]="IntSV", TBL_ADD_04_Qs_All[[#This Row],[Question / Sub-question]]="Not used"), "-", IF(TBL_ADD_04_Qs_All[[#This Row],[Type]]="Question", TBL_ADD_04_Qs_All[[#This Row],[No.subs]]*500, "-"))</f>
        <v>-</v>
      </c>
      <c r="G17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2" s="426" t="str">
        <f t="array" ref="I17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2" s="424" t="s">
        <v>332</v>
      </c>
      <c r="K172" s="426" t="s">
        <v>1315</v>
      </c>
      <c r="L172" s="428" t="s">
        <v>568</v>
      </c>
      <c r="M172" s="426" t="s">
        <v>479</v>
      </c>
      <c r="N17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3" spans="1:15">
      <c r="A173" s="424" t="str">
        <f>IF(TBL_ADD_04_Qs_All[[#This Row],[Type]]="Question", K174, IF(TBL_ADD_04_Qs_All[[#This Row],[Sub_No]]="N/A", "-", CONCATENATE(TBL_ADD_04_Qs_All[[#This Row],[Q_No]], TBL_ADD_04_Qs_All[[#This Row],[Sub_No]])))</f>
        <v>Q4.3.2</v>
      </c>
      <c r="B173" s="424" t="s">
        <v>152</v>
      </c>
      <c r="C17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3" s="426" t="str">
        <f>IF(OR(TBL_ADD_04_Qs_All[[#This Row],[Type]]="Overview", TBL_ADD_04_Qs_All[[#This Row],[Type]]="Sub-question", TBL_ADD_04_Qs_All[[#This Row],[Required?]]="No", TBL_ADD_04_Qs_All[[#This Row],[Section]]="IntSV", TBL_ADD_04_Qs_All[[#This Row],[Question / Sub-question]]="Not used"), "-", "")</f>
        <v>-</v>
      </c>
      <c r="E173" s="425" t="str">
        <f>IF(OR(TBL_ADD_04_Qs_All[[#This Row],[Type]]="Overview", TBL_ADD_04_Qs_All[[#This Row],[Type]]="Sub-question", TBL_ADD_04_Qs_All[[#This Row],[Required?]]="No", TBL_ADD_04_Qs_All[[#This Row],[Section]]="IntSV", TBL_ADD_04_Qs_All[[#This Row],[Question / Sub-question]]="Not used"), "-", "")</f>
        <v>-</v>
      </c>
      <c r="F173" s="427" t="str">
        <f>IF(OR(TBL_ADD_04_Qs_All[[#This Row],[Required?]]="No", TBL_ADD_04_Qs_All[[#This Row],[Section]]="IntSV", TBL_ADD_04_Qs_All[[#This Row],[Question / Sub-question]]="Not used"), "-", IF(TBL_ADD_04_Qs_All[[#This Row],[Type]]="Question", TBL_ADD_04_Qs_All[[#This Row],[No.subs]]*500, "-"))</f>
        <v>-</v>
      </c>
      <c r="G17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3" s="426" t="str">
        <f t="array" ref="I17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3" s="424" t="s">
        <v>332</v>
      </c>
      <c r="K173" s="426" t="s">
        <v>1315</v>
      </c>
      <c r="L173" s="428" t="s">
        <v>572</v>
      </c>
      <c r="M173" s="426" t="s">
        <v>479</v>
      </c>
      <c r="N17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4" spans="1:15">
      <c r="A174" s="424" t="str">
        <f>IF(TBL_ADD_04_Qs_All[[#This Row],[Type]]="Question", K175, IF(TBL_ADD_04_Qs_All[[#This Row],[Sub_No]]="N/A", "-", CONCATENATE(TBL_ADD_04_Qs_All[[#This Row],[Q_No]], TBL_ADD_04_Qs_All[[#This Row],[Sub_No]])))</f>
        <v>Q4.3.3</v>
      </c>
      <c r="B174" s="424" t="s">
        <v>152</v>
      </c>
      <c r="C17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4" s="426" t="str">
        <f>IF(OR(TBL_ADD_04_Qs_All[[#This Row],[Type]]="Overview", TBL_ADD_04_Qs_All[[#This Row],[Type]]="Sub-question", TBL_ADD_04_Qs_All[[#This Row],[Required?]]="No", TBL_ADD_04_Qs_All[[#This Row],[Section]]="IntSV", TBL_ADD_04_Qs_All[[#This Row],[Question / Sub-question]]="Not used"), "-", "")</f>
        <v>-</v>
      </c>
      <c r="E174" s="425" t="str">
        <f>IF(OR(TBL_ADD_04_Qs_All[[#This Row],[Type]]="Overview", TBL_ADD_04_Qs_All[[#This Row],[Type]]="Sub-question", TBL_ADD_04_Qs_All[[#This Row],[Required?]]="No", TBL_ADD_04_Qs_All[[#This Row],[Section]]="IntSV", TBL_ADD_04_Qs_All[[#This Row],[Question / Sub-question]]="Not used"), "-", "")</f>
        <v>-</v>
      </c>
      <c r="F174" s="427" t="str">
        <f>IF(OR(TBL_ADD_04_Qs_All[[#This Row],[Required?]]="No", TBL_ADD_04_Qs_All[[#This Row],[Section]]="IntSV", TBL_ADD_04_Qs_All[[#This Row],[Question / Sub-question]]="Not used"), "-", IF(TBL_ADD_04_Qs_All[[#This Row],[Type]]="Question", TBL_ADD_04_Qs_All[[#This Row],[No.subs]]*500, "-"))</f>
        <v>-</v>
      </c>
      <c r="G17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4" s="426" t="str">
        <f t="array" ref="I17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4" s="424" t="s">
        <v>332</v>
      </c>
      <c r="K174" s="426" t="s">
        <v>1315</v>
      </c>
      <c r="L174" s="428" t="s">
        <v>569</v>
      </c>
      <c r="M174" s="426" t="s">
        <v>479</v>
      </c>
      <c r="N17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5" spans="1:15">
      <c r="A175" s="424" t="str">
        <f>IF(TBL_ADD_04_Qs_All[[#This Row],[Type]]="Question", K176, IF(TBL_ADD_04_Qs_All[[#This Row],[Sub_No]]="N/A", "-", CONCATENATE(TBL_ADD_04_Qs_All[[#This Row],[Q_No]], TBL_ADD_04_Qs_All[[#This Row],[Sub_No]])))</f>
        <v>Q4.3.4</v>
      </c>
      <c r="B175" s="424" t="s">
        <v>152</v>
      </c>
      <c r="C17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5" s="426" t="str">
        <f>IF(OR(TBL_ADD_04_Qs_All[[#This Row],[Type]]="Overview", TBL_ADD_04_Qs_All[[#This Row],[Type]]="Sub-question", TBL_ADD_04_Qs_All[[#This Row],[Required?]]="No", TBL_ADD_04_Qs_All[[#This Row],[Section]]="IntSV", TBL_ADD_04_Qs_All[[#This Row],[Question / Sub-question]]="Not used"), "-", "")</f>
        <v>-</v>
      </c>
      <c r="E175" s="425" t="str">
        <f>IF(OR(TBL_ADD_04_Qs_All[[#This Row],[Type]]="Overview", TBL_ADD_04_Qs_All[[#This Row],[Type]]="Sub-question", TBL_ADD_04_Qs_All[[#This Row],[Required?]]="No", TBL_ADD_04_Qs_All[[#This Row],[Section]]="IntSV", TBL_ADD_04_Qs_All[[#This Row],[Question / Sub-question]]="Not used"), "-", "")</f>
        <v>-</v>
      </c>
      <c r="F175" s="427" t="str">
        <f>IF(OR(TBL_ADD_04_Qs_All[[#This Row],[Required?]]="No", TBL_ADD_04_Qs_All[[#This Row],[Section]]="IntSV", TBL_ADD_04_Qs_All[[#This Row],[Question / Sub-question]]="Not used"), "-", IF(TBL_ADD_04_Qs_All[[#This Row],[Type]]="Question", TBL_ADD_04_Qs_All[[#This Row],[No.subs]]*500, "-"))</f>
        <v>-</v>
      </c>
      <c r="G17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5" s="426" t="str">
        <f t="array" ref="I17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5" s="424" t="s">
        <v>332</v>
      </c>
      <c r="K175" s="426" t="s">
        <v>1315</v>
      </c>
      <c r="L175" s="428" t="s">
        <v>570</v>
      </c>
      <c r="M175" s="426" t="s">
        <v>479</v>
      </c>
      <c r="N17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6" spans="1:15">
      <c r="A176" s="424" t="str">
        <f>IF(TBL_ADD_04_Qs_All[[#This Row],[Type]]="Question", K177, IF(TBL_ADD_04_Qs_All[[#This Row],[Sub_No]]="N/A", "-", CONCATENATE(TBL_ADD_04_Qs_All[[#This Row],[Q_No]], TBL_ADD_04_Qs_All[[#This Row],[Sub_No]])))</f>
        <v>Q4.3.5</v>
      </c>
      <c r="B176" s="424" t="s">
        <v>152</v>
      </c>
      <c r="C17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6" s="426" t="str">
        <f>IF(OR(TBL_ADD_04_Qs_All[[#This Row],[Type]]="Overview", TBL_ADD_04_Qs_All[[#This Row],[Type]]="Sub-question", TBL_ADD_04_Qs_All[[#This Row],[Required?]]="No", TBL_ADD_04_Qs_All[[#This Row],[Section]]="IntSV", TBL_ADD_04_Qs_All[[#This Row],[Question / Sub-question]]="Not used"), "-", "")</f>
        <v>-</v>
      </c>
      <c r="E176" s="425" t="str">
        <f>IF(OR(TBL_ADD_04_Qs_All[[#This Row],[Type]]="Overview", TBL_ADD_04_Qs_All[[#This Row],[Type]]="Sub-question", TBL_ADD_04_Qs_All[[#This Row],[Required?]]="No", TBL_ADD_04_Qs_All[[#This Row],[Section]]="IntSV", TBL_ADD_04_Qs_All[[#This Row],[Question / Sub-question]]="Not used"), "-", "")</f>
        <v>-</v>
      </c>
      <c r="F176" s="427" t="str">
        <f>IF(OR(TBL_ADD_04_Qs_All[[#This Row],[Required?]]="No", TBL_ADD_04_Qs_All[[#This Row],[Section]]="IntSV", TBL_ADD_04_Qs_All[[#This Row],[Question / Sub-question]]="Not used"), "-", IF(TBL_ADD_04_Qs_All[[#This Row],[Type]]="Question", TBL_ADD_04_Qs_All[[#This Row],[No.subs]]*500, "-"))</f>
        <v>-</v>
      </c>
      <c r="G17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6" s="426" t="str">
        <f t="array" ref="I17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6" s="424" t="s">
        <v>332</v>
      </c>
      <c r="K176" s="426" t="s">
        <v>1315</v>
      </c>
      <c r="L176" s="428" t="s">
        <v>571</v>
      </c>
      <c r="M176" s="426" t="s">
        <v>479</v>
      </c>
      <c r="N17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7" spans="1:15">
      <c r="A177" s="424" t="str">
        <f>IF(TBL_ADD_04_Qs_All[[#This Row],[Type]]="Question", K178, IF(TBL_ADD_04_Qs_All[[#This Row],[Sub_No]]="N/A", "-", CONCATENATE(TBL_ADD_04_Qs_All[[#This Row],[Q_No]], TBL_ADD_04_Qs_All[[#This Row],[Sub_No]])))</f>
        <v>Q4.3.6</v>
      </c>
      <c r="B177" s="424" t="s">
        <v>152</v>
      </c>
      <c r="C17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7" s="426" t="str">
        <f>IF(OR(TBL_ADD_04_Qs_All[[#This Row],[Type]]="Overview", TBL_ADD_04_Qs_All[[#This Row],[Type]]="Sub-question", TBL_ADD_04_Qs_All[[#This Row],[Required?]]="No", TBL_ADD_04_Qs_All[[#This Row],[Section]]="IntSV", TBL_ADD_04_Qs_All[[#This Row],[Question / Sub-question]]="Not used"), "-", "")</f>
        <v>-</v>
      </c>
      <c r="E177" s="425" t="str">
        <f>IF(OR(TBL_ADD_04_Qs_All[[#This Row],[Type]]="Overview", TBL_ADD_04_Qs_All[[#This Row],[Type]]="Sub-question", TBL_ADD_04_Qs_All[[#This Row],[Required?]]="No", TBL_ADD_04_Qs_All[[#This Row],[Section]]="IntSV", TBL_ADD_04_Qs_All[[#This Row],[Question / Sub-question]]="Not used"), "-", "")</f>
        <v>-</v>
      </c>
      <c r="F177" s="427" t="str">
        <f>IF(OR(TBL_ADD_04_Qs_All[[#This Row],[Required?]]="No", TBL_ADD_04_Qs_All[[#This Row],[Section]]="IntSV", TBL_ADD_04_Qs_All[[#This Row],[Question / Sub-question]]="Not used"), "-", IF(TBL_ADD_04_Qs_All[[#This Row],[Type]]="Question", TBL_ADD_04_Qs_All[[#This Row],[No.subs]]*500, "-"))</f>
        <v>-</v>
      </c>
      <c r="G17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7" s="426" t="str">
        <f t="array" ref="I17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7" s="424" t="s">
        <v>332</v>
      </c>
      <c r="K177" s="426" t="s">
        <v>1315</v>
      </c>
      <c r="L177" s="428" t="s">
        <v>573</v>
      </c>
      <c r="M177" s="426" t="s">
        <v>479</v>
      </c>
      <c r="N17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8" spans="1:15">
      <c r="A178" s="424" t="str">
        <f>IF(TBL_ADD_04_Qs_All[[#This Row],[Type]]="Question", K179, IF(TBL_ADD_04_Qs_All[[#This Row],[Sub_No]]="N/A", "-", CONCATENATE(TBL_ADD_04_Qs_All[[#This Row],[Q_No]], TBL_ADD_04_Qs_All[[#This Row],[Sub_No]])))</f>
        <v>Q4.3.7</v>
      </c>
      <c r="B178" s="424" t="s">
        <v>152</v>
      </c>
      <c r="C17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8" s="426" t="str">
        <f>IF(OR(TBL_ADD_04_Qs_All[[#This Row],[Type]]="Overview", TBL_ADD_04_Qs_All[[#This Row],[Type]]="Sub-question", TBL_ADD_04_Qs_All[[#This Row],[Required?]]="No", TBL_ADD_04_Qs_All[[#This Row],[Section]]="IntSV", TBL_ADD_04_Qs_All[[#This Row],[Question / Sub-question]]="Not used"), "-", "")</f>
        <v>-</v>
      </c>
      <c r="E178" s="425" t="str">
        <f>IF(OR(TBL_ADD_04_Qs_All[[#This Row],[Type]]="Overview", TBL_ADD_04_Qs_All[[#This Row],[Type]]="Sub-question", TBL_ADD_04_Qs_All[[#This Row],[Required?]]="No", TBL_ADD_04_Qs_All[[#This Row],[Section]]="IntSV", TBL_ADD_04_Qs_All[[#This Row],[Question / Sub-question]]="Not used"), "-", "")</f>
        <v>-</v>
      </c>
      <c r="F178" s="427" t="str">
        <f>IF(OR(TBL_ADD_04_Qs_All[[#This Row],[Required?]]="No", TBL_ADD_04_Qs_All[[#This Row],[Section]]="IntSV", TBL_ADD_04_Qs_All[[#This Row],[Question / Sub-question]]="Not used"), "-", IF(TBL_ADD_04_Qs_All[[#This Row],[Type]]="Question", TBL_ADD_04_Qs_All[[#This Row],[No.subs]]*500, "-"))</f>
        <v>-</v>
      </c>
      <c r="G17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8" s="426" t="str">
        <f t="array" ref="I17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8" s="424" t="s">
        <v>332</v>
      </c>
      <c r="K178" s="426" t="s">
        <v>1315</v>
      </c>
      <c r="L178" s="428" t="s">
        <v>574</v>
      </c>
      <c r="M178" s="426" t="s">
        <v>479</v>
      </c>
      <c r="N17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79" spans="1:15">
      <c r="A179" s="424" t="str">
        <f>IF(TBL_ADD_04_Qs_All[[#This Row],[Type]]="Question", K180, IF(TBL_ADD_04_Qs_All[[#This Row],[Sub_No]]="N/A", "-", CONCATENATE(TBL_ADD_04_Qs_All[[#This Row],[Q_No]], TBL_ADD_04_Qs_All[[#This Row],[Sub_No]])))</f>
        <v>Q4.3.8</v>
      </c>
      <c r="B179" s="424" t="s">
        <v>152</v>
      </c>
      <c r="C17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79" s="426" t="str">
        <f>IF(OR(TBL_ADD_04_Qs_All[[#This Row],[Type]]="Overview", TBL_ADD_04_Qs_All[[#This Row],[Type]]="Sub-question", TBL_ADD_04_Qs_All[[#This Row],[Required?]]="No", TBL_ADD_04_Qs_All[[#This Row],[Section]]="IntSV", TBL_ADD_04_Qs_All[[#This Row],[Question / Sub-question]]="Not used"), "-", "")</f>
        <v>-</v>
      </c>
      <c r="E179" s="425" t="str">
        <f>IF(OR(TBL_ADD_04_Qs_All[[#This Row],[Type]]="Overview", TBL_ADD_04_Qs_All[[#This Row],[Type]]="Sub-question", TBL_ADD_04_Qs_All[[#This Row],[Required?]]="No", TBL_ADD_04_Qs_All[[#This Row],[Section]]="IntSV", TBL_ADD_04_Qs_All[[#This Row],[Question / Sub-question]]="Not used"), "-", "")</f>
        <v>-</v>
      </c>
      <c r="F179" s="427" t="str">
        <f>IF(OR(TBL_ADD_04_Qs_All[[#This Row],[Required?]]="No", TBL_ADD_04_Qs_All[[#This Row],[Section]]="IntSV", TBL_ADD_04_Qs_All[[#This Row],[Question / Sub-question]]="Not used"), "-", IF(TBL_ADD_04_Qs_All[[#This Row],[Type]]="Question", TBL_ADD_04_Qs_All[[#This Row],[No.subs]]*500, "-"))</f>
        <v>-</v>
      </c>
      <c r="G17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7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79" s="426" t="str">
        <f t="array" ref="I17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79" s="424" t="s">
        <v>332</v>
      </c>
      <c r="K179" s="426" t="s">
        <v>1315</v>
      </c>
      <c r="L179" s="428" t="s">
        <v>575</v>
      </c>
      <c r="M179" s="426" t="s">
        <v>479</v>
      </c>
      <c r="N17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7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0" spans="1:15">
      <c r="A180" s="424" t="str">
        <f>IF(TBL_ADD_04_Qs_All[[#This Row],[Type]]="Question", K181, IF(TBL_ADD_04_Qs_All[[#This Row],[Sub_No]]="N/A", "-", CONCATENATE(TBL_ADD_04_Qs_All[[#This Row],[Q_No]], TBL_ADD_04_Qs_All[[#This Row],[Sub_No]])))</f>
        <v>Q4.3.9</v>
      </c>
      <c r="B180" s="424" t="s">
        <v>152</v>
      </c>
      <c r="C18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0" s="426" t="str">
        <f>IF(OR(TBL_ADD_04_Qs_All[[#This Row],[Type]]="Overview", TBL_ADD_04_Qs_All[[#This Row],[Type]]="Sub-question", TBL_ADD_04_Qs_All[[#This Row],[Required?]]="No", TBL_ADD_04_Qs_All[[#This Row],[Section]]="IntSV", TBL_ADD_04_Qs_All[[#This Row],[Question / Sub-question]]="Not used"), "-", "")</f>
        <v>-</v>
      </c>
      <c r="E180" s="425" t="str">
        <f>IF(OR(TBL_ADD_04_Qs_All[[#This Row],[Type]]="Overview", TBL_ADD_04_Qs_All[[#This Row],[Type]]="Sub-question", TBL_ADD_04_Qs_All[[#This Row],[Required?]]="No", TBL_ADD_04_Qs_All[[#This Row],[Section]]="IntSV", TBL_ADD_04_Qs_All[[#This Row],[Question / Sub-question]]="Not used"), "-", "")</f>
        <v>-</v>
      </c>
      <c r="F180" s="427" t="str">
        <f>IF(OR(TBL_ADD_04_Qs_All[[#This Row],[Required?]]="No", TBL_ADD_04_Qs_All[[#This Row],[Section]]="IntSV", TBL_ADD_04_Qs_All[[#This Row],[Question / Sub-question]]="Not used"), "-", IF(TBL_ADD_04_Qs_All[[#This Row],[Type]]="Question", TBL_ADD_04_Qs_All[[#This Row],[No.subs]]*500, "-"))</f>
        <v>-</v>
      </c>
      <c r="G18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0" s="426" t="str">
        <f t="array" ref="I18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0" s="424" t="s">
        <v>332</v>
      </c>
      <c r="K180" s="426" t="s">
        <v>1315</v>
      </c>
      <c r="L180" s="428" t="s">
        <v>576</v>
      </c>
      <c r="M180" s="426" t="s">
        <v>479</v>
      </c>
      <c r="N18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1" spans="1:15">
      <c r="A181" s="424" t="str">
        <f>IF(TBL_ADD_04_Qs_All[[#This Row],[Type]]="Question", K182, IF(TBL_ADD_04_Qs_All[[#This Row],[Sub_No]]="N/A", "-", CONCATENATE(TBL_ADD_04_Qs_All[[#This Row],[Q_No]], TBL_ADD_04_Qs_All[[#This Row],[Sub_No]])))</f>
        <v>Q4.3.10</v>
      </c>
      <c r="B181" s="424" t="s">
        <v>152</v>
      </c>
      <c r="C18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1" s="426" t="str">
        <f>IF(OR(TBL_ADD_04_Qs_All[[#This Row],[Type]]="Overview", TBL_ADD_04_Qs_All[[#This Row],[Type]]="Sub-question", TBL_ADD_04_Qs_All[[#This Row],[Required?]]="No", TBL_ADD_04_Qs_All[[#This Row],[Section]]="IntSV", TBL_ADD_04_Qs_All[[#This Row],[Question / Sub-question]]="Not used"), "-", "")</f>
        <v>-</v>
      </c>
      <c r="E181" s="425" t="str">
        <f>IF(OR(TBL_ADD_04_Qs_All[[#This Row],[Type]]="Overview", TBL_ADD_04_Qs_All[[#This Row],[Type]]="Sub-question", TBL_ADD_04_Qs_All[[#This Row],[Required?]]="No", TBL_ADD_04_Qs_All[[#This Row],[Section]]="IntSV", TBL_ADD_04_Qs_All[[#This Row],[Question / Sub-question]]="Not used"), "-", "")</f>
        <v>-</v>
      </c>
      <c r="F181" s="427" t="str">
        <f>IF(OR(TBL_ADD_04_Qs_All[[#This Row],[Required?]]="No", TBL_ADD_04_Qs_All[[#This Row],[Section]]="IntSV", TBL_ADD_04_Qs_All[[#This Row],[Question / Sub-question]]="Not used"), "-", IF(TBL_ADD_04_Qs_All[[#This Row],[Type]]="Question", TBL_ADD_04_Qs_All[[#This Row],[No.subs]]*500, "-"))</f>
        <v>-</v>
      </c>
      <c r="G18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1" s="426" t="str">
        <f t="array" ref="I18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1" s="424" t="s">
        <v>332</v>
      </c>
      <c r="K181" s="426" t="s">
        <v>1315</v>
      </c>
      <c r="L181" s="428" t="s">
        <v>577</v>
      </c>
      <c r="M181" s="426" t="s">
        <v>479</v>
      </c>
      <c r="N18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2" spans="1:15" ht="13">
      <c r="A182" s="424" t="str">
        <f>IF(TBL_ADD_04_Qs_All[[#This Row],[Type]]="Question", K183, IF(TBL_ADD_04_Qs_All[[#This Row],[Sub_No]]="N/A", "-", CONCATENATE(TBL_ADD_04_Qs_All[[#This Row],[Q_No]], TBL_ADD_04_Qs_All[[#This Row],[Sub_No]])))</f>
        <v>Q4.4</v>
      </c>
      <c r="B182" s="424" t="s">
        <v>152</v>
      </c>
      <c r="C18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82" s="426" t="str">
        <f>IF(OR(TBL_ADD_04_Qs_All[[#This Row],[Type]]="Overview", TBL_ADD_04_Qs_All[[#This Row],[Type]]="Sub-question", TBL_ADD_04_Qs_All[[#This Row],[Required?]]="No", TBL_ADD_04_Qs_All[[#This Row],[Section]]="IntSV", TBL_ADD_04_Qs_All[[#This Row],[Question / Sub-question]]="Not used"), "-", "")</f>
        <v>-</v>
      </c>
      <c r="E182" s="425" t="str">
        <f>IF(OR(TBL_ADD_04_Qs_All[[#This Row],[Type]]="Overview", TBL_ADD_04_Qs_All[[#This Row],[Type]]="Sub-question", TBL_ADD_04_Qs_All[[#This Row],[Required?]]="No", TBL_ADD_04_Qs_All[[#This Row],[Section]]="IntSV", TBL_ADD_04_Qs_All[[#This Row],[Question / Sub-question]]="Not used"), "-", "")</f>
        <v>-</v>
      </c>
      <c r="F182" s="427" t="str">
        <f>IF(OR(TBL_ADD_04_Qs_All[[#This Row],[Required?]]="No", TBL_ADD_04_Qs_All[[#This Row],[Section]]="IntSV", TBL_ADD_04_Qs_All[[#This Row],[Question / Sub-question]]="Not used"), "-", IF(TBL_ADD_04_Qs_All[[#This Row],[Type]]="Question", TBL_ADD_04_Qs_All[[#This Row],[No.subs]]*500, "-"))</f>
        <v>-</v>
      </c>
      <c r="G18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182"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82" s="426">
        <f t="array" ref="I18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82" s="424" t="s">
        <v>146</v>
      </c>
      <c r="K182" s="426" t="s">
        <v>24</v>
      </c>
      <c r="L182" s="426" t="s">
        <v>24</v>
      </c>
      <c r="M182" s="426" t="s">
        <v>479</v>
      </c>
      <c r="N18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3" spans="1:15">
      <c r="A183" s="424" t="str">
        <f>IF(TBL_ADD_04_Qs_All[[#This Row],[Type]]="Question", K184, IF(TBL_ADD_04_Qs_All[[#This Row],[Sub_No]]="N/A", "-", CONCATENATE(TBL_ADD_04_Qs_All[[#This Row],[Q_No]], TBL_ADD_04_Qs_All[[#This Row],[Sub_No]])))</f>
        <v>Q4.4.1</v>
      </c>
      <c r="B183" s="424" t="s">
        <v>152</v>
      </c>
      <c r="C18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3" s="426" t="str">
        <f>IF(OR(TBL_ADD_04_Qs_All[[#This Row],[Type]]="Overview", TBL_ADD_04_Qs_All[[#This Row],[Type]]="Sub-question", TBL_ADD_04_Qs_All[[#This Row],[Required?]]="No", TBL_ADD_04_Qs_All[[#This Row],[Section]]="IntSV", TBL_ADD_04_Qs_All[[#This Row],[Question / Sub-question]]="Not used"), "-", "")</f>
        <v>-</v>
      </c>
      <c r="E183" s="425" t="str">
        <f>IF(OR(TBL_ADD_04_Qs_All[[#This Row],[Type]]="Overview", TBL_ADD_04_Qs_All[[#This Row],[Type]]="Sub-question", TBL_ADD_04_Qs_All[[#This Row],[Required?]]="No", TBL_ADD_04_Qs_All[[#This Row],[Section]]="IntSV", TBL_ADD_04_Qs_All[[#This Row],[Question / Sub-question]]="Not used"), "-", "")</f>
        <v>-</v>
      </c>
      <c r="F183" s="427" t="str">
        <f>IF(OR(TBL_ADD_04_Qs_All[[#This Row],[Required?]]="No", TBL_ADD_04_Qs_All[[#This Row],[Section]]="IntSV", TBL_ADD_04_Qs_All[[#This Row],[Question / Sub-question]]="Not used"), "-", IF(TBL_ADD_04_Qs_All[[#This Row],[Type]]="Question", TBL_ADD_04_Qs_All[[#This Row],[No.subs]]*500, "-"))</f>
        <v>-</v>
      </c>
      <c r="G18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3" s="426" t="str">
        <f t="array" ref="I18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3" s="424" t="s">
        <v>332</v>
      </c>
      <c r="K183" s="426" t="s">
        <v>1316</v>
      </c>
      <c r="L183" s="428" t="s">
        <v>568</v>
      </c>
      <c r="M183" s="426" t="s">
        <v>479</v>
      </c>
      <c r="N18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4" spans="1:15">
      <c r="A184" s="424" t="str">
        <f>IF(TBL_ADD_04_Qs_All[[#This Row],[Type]]="Question", K185, IF(TBL_ADD_04_Qs_All[[#This Row],[Sub_No]]="N/A", "-", CONCATENATE(TBL_ADD_04_Qs_All[[#This Row],[Q_No]], TBL_ADD_04_Qs_All[[#This Row],[Sub_No]])))</f>
        <v>Q4.4.2</v>
      </c>
      <c r="B184" s="424" t="s">
        <v>152</v>
      </c>
      <c r="C18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4" s="426" t="str">
        <f>IF(OR(TBL_ADD_04_Qs_All[[#This Row],[Type]]="Overview", TBL_ADD_04_Qs_All[[#This Row],[Type]]="Sub-question", TBL_ADD_04_Qs_All[[#This Row],[Required?]]="No", TBL_ADD_04_Qs_All[[#This Row],[Section]]="IntSV", TBL_ADD_04_Qs_All[[#This Row],[Question / Sub-question]]="Not used"), "-", "")</f>
        <v>-</v>
      </c>
      <c r="E184" s="425" t="str">
        <f>IF(OR(TBL_ADD_04_Qs_All[[#This Row],[Type]]="Overview", TBL_ADD_04_Qs_All[[#This Row],[Type]]="Sub-question", TBL_ADD_04_Qs_All[[#This Row],[Required?]]="No", TBL_ADD_04_Qs_All[[#This Row],[Section]]="IntSV", TBL_ADD_04_Qs_All[[#This Row],[Question / Sub-question]]="Not used"), "-", "")</f>
        <v>-</v>
      </c>
      <c r="F184" s="427" t="str">
        <f>IF(OR(TBL_ADD_04_Qs_All[[#This Row],[Required?]]="No", TBL_ADD_04_Qs_All[[#This Row],[Section]]="IntSV", TBL_ADD_04_Qs_All[[#This Row],[Question / Sub-question]]="Not used"), "-", IF(TBL_ADD_04_Qs_All[[#This Row],[Type]]="Question", TBL_ADD_04_Qs_All[[#This Row],[No.subs]]*500, "-"))</f>
        <v>-</v>
      </c>
      <c r="G18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4" s="426" t="str">
        <f t="array" ref="I18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4" s="424" t="s">
        <v>332</v>
      </c>
      <c r="K184" s="426" t="s">
        <v>1316</v>
      </c>
      <c r="L184" s="428" t="s">
        <v>572</v>
      </c>
      <c r="M184" s="426" t="s">
        <v>479</v>
      </c>
      <c r="N18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5" spans="1:15">
      <c r="A185" s="424" t="str">
        <f>IF(TBL_ADD_04_Qs_All[[#This Row],[Type]]="Question", K186, IF(TBL_ADD_04_Qs_All[[#This Row],[Sub_No]]="N/A", "-", CONCATENATE(TBL_ADD_04_Qs_All[[#This Row],[Q_No]], TBL_ADD_04_Qs_All[[#This Row],[Sub_No]])))</f>
        <v>Q4.4.3</v>
      </c>
      <c r="B185" s="424" t="s">
        <v>152</v>
      </c>
      <c r="C18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5" s="426" t="str">
        <f>IF(OR(TBL_ADD_04_Qs_All[[#This Row],[Type]]="Overview", TBL_ADD_04_Qs_All[[#This Row],[Type]]="Sub-question", TBL_ADD_04_Qs_All[[#This Row],[Required?]]="No", TBL_ADD_04_Qs_All[[#This Row],[Section]]="IntSV", TBL_ADD_04_Qs_All[[#This Row],[Question / Sub-question]]="Not used"), "-", "")</f>
        <v>-</v>
      </c>
      <c r="E185" s="425" t="str">
        <f>IF(OR(TBL_ADD_04_Qs_All[[#This Row],[Type]]="Overview", TBL_ADD_04_Qs_All[[#This Row],[Type]]="Sub-question", TBL_ADD_04_Qs_All[[#This Row],[Required?]]="No", TBL_ADD_04_Qs_All[[#This Row],[Section]]="IntSV", TBL_ADD_04_Qs_All[[#This Row],[Question / Sub-question]]="Not used"), "-", "")</f>
        <v>-</v>
      </c>
      <c r="F185" s="427" t="str">
        <f>IF(OR(TBL_ADD_04_Qs_All[[#This Row],[Required?]]="No", TBL_ADD_04_Qs_All[[#This Row],[Section]]="IntSV", TBL_ADD_04_Qs_All[[#This Row],[Question / Sub-question]]="Not used"), "-", IF(TBL_ADD_04_Qs_All[[#This Row],[Type]]="Question", TBL_ADD_04_Qs_All[[#This Row],[No.subs]]*500, "-"))</f>
        <v>-</v>
      </c>
      <c r="G18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5" s="426" t="str">
        <f t="array" ref="I18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5" s="424" t="s">
        <v>332</v>
      </c>
      <c r="K185" s="426" t="s">
        <v>1316</v>
      </c>
      <c r="L185" s="428" t="s">
        <v>569</v>
      </c>
      <c r="M185" s="426" t="s">
        <v>479</v>
      </c>
      <c r="N18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6" spans="1:15">
      <c r="A186" s="424" t="str">
        <f>IF(TBL_ADD_04_Qs_All[[#This Row],[Type]]="Question", K187, IF(TBL_ADD_04_Qs_All[[#This Row],[Sub_No]]="N/A", "-", CONCATENATE(TBL_ADD_04_Qs_All[[#This Row],[Q_No]], TBL_ADD_04_Qs_All[[#This Row],[Sub_No]])))</f>
        <v>Q4.4.4</v>
      </c>
      <c r="B186" s="424" t="s">
        <v>152</v>
      </c>
      <c r="C18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6" s="426" t="str">
        <f>IF(OR(TBL_ADD_04_Qs_All[[#This Row],[Type]]="Overview", TBL_ADD_04_Qs_All[[#This Row],[Type]]="Sub-question", TBL_ADD_04_Qs_All[[#This Row],[Required?]]="No", TBL_ADD_04_Qs_All[[#This Row],[Section]]="IntSV", TBL_ADD_04_Qs_All[[#This Row],[Question / Sub-question]]="Not used"), "-", "")</f>
        <v>-</v>
      </c>
      <c r="E186" s="425" t="str">
        <f>IF(OR(TBL_ADD_04_Qs_All[[#This Row],[Type]]="Overview", TBL_ADD_04_Qs_All[[#This Row],[Type]]="Sub-question", TBL_ADD_04_Qs_All[[#This Row],[Required?]]="No", TBL_ADD_04_Qs_All[[#This Row],[Section]]="IntSV", TBL_ADD_04_Qs_All[[#This Row],[Question / Sub-question]]="Not used"), "-", "")</f>
        <v>-</v>
      </c>
      <c r="F186" s="427" t="str">
        <f>IF(OR(TBL_ADD_04_Qs_All[[#This Row],[Required?]]="No", TBL_ADD_04_Qs_All[[#This Row],[Section]]="IntSV", TBL_ADD_04_Qs_All[[#This Row],[Question / Sub-question]]="Not used"), "-", IF(TBL_ADD_04_Qs_All[[#This Row],[Type]]="Question", TBL_ADD_04_Qs_All[[#This Row],[No.subs]]*500, "-"))</f>
        <v>-</v>
      </c>
      <c r="G18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6" s="426" t="str">
        <f t="array" ref="I18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6" s="424" t="s">
        <v>332</v>
      </c>
      <c r="K186" s="426" t="s">
        <v>1316</v>
      </c>
      <c r="L186" s="428" t="s">
        <v>570</v>
      </c>
      <c r="M186" s="426" t="s">
        <v>479</v>
      </c>
      <c r="N18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7" spans="1:15">
      <c r="A187" s="424" t="str">
        <f>IF(TBL_ADD_04_Qs_All[[#This Row],[Type]]="Question", K188, IF(TBL_ADD_04_Qs_All[[#This Row],[Sub_No]]="N/A", "-", CONCATENATE(TBL_ADD_04_Qs_All[[#This Row],[Q_No]], TBL_ADD_04_Qs_All[[#This Row],[Sub_No]])))</f>
        <v>Q4.4.5</v>
      </c>
      <c r="B187" s="424" t="s">
        <v>152</v>
      </c>
      <c r="C18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7" s="426" t="str">
        <f>IF(OR(TBL_ADD_04_Qs_All[[#This Row],[Type]]="Overview", TBL_ADD_04_Qs_All[[#This Row],[Type]]="Sub-question", TBL_ADD_04_Qs_All[[#This Row],[Required?]]="No", TBL_ADD_04_Qs_All[[#This Row],[Section]]="IntSV", TBL_ADD_04_Qs_All[[#This Row],[Question / Sub-question]]="Not used"), "-", "")</f>
        <v>-</v>
      </c>
      <c r="E187" s="425" t="str">
        <f>IF(OR(TBL_ADD_04_Qs_All[[#This Row],[Type]]="Overview", TBL_ADD_04_Qs_All[[#This Row],[Type]]="Sub-question", TBL_ADD_04_Qs_All[[#This Row],[Required?]]="No", TBL_ADD_04_Qs_All[[#This Row],[Section]]="IntSV", TBL_ADD_04_Qs_All[[#This Row],[Question / Sub-question]]="Not used"), "-", "")</f>
        <v>-</v>
      </c>
      <c r="F187" s="427" t="str">
        <f>IF(OR(TBL_ADD_04_Qs_All[[#This Row],[Required?]]="No", TBL_ADD_04_Qs_All[[#This Row],[Section]]="IntSV", TBL_ADD_04_Qs_All[[#This Row],[Question / Sub-question]]="Not used"), "-", IF(TBL_ADD_04_Qs_All[[#This Row],[Type]]="Question", TBL_ADD_04_Qs_All[[#This Row],[No.subs]]*500, "-"))</f>
        <v>-</v>
      </c>
      <c r="G18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7" s="426" t="str">
        <f t="array" ref="I18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7" s="424" t="s">
        <v>332</v>
      </c>
      <c r="K187" s="426" t="s">
        <v>1316</v>
      </c>
      <c r="L187" s="428" t="s">
        <v>571</v>
      </c>
      <c r="M187" s="426" t="s">
        <v>479</v>
      </c>
      <c r="N18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8" spans="1:15">
      <c r="A188" s="424" t="str">
        <f>IF(TBL_ADD_04_Qs_All[[#This Row],[Type]]="Question", K189, IF(TBL_ADD_04_Qs_All[[#This Row],[Sub_No]]="N/A", "-", CONCATENATE(TBL_ADD_04_Qs_All[[#This Row],[Q_No]], TBL_ADD_04_Qs_All[[#This Row],[Sub_No]])))</f>
        <v>Q4.4.6</v>
      </c>
      <c r="B188" s="424" t="s">
        <v>152</v>
      </c>
      <c r="C18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8" s="426" t="str">
        <f>IF(OR(TBL_ADD_04_Qs_All[[#This Row],[Type]]="Overview", TBL_ADD_04_Qs_All[[#This Row],[Type]]="Sub-question", TBL_ADD_04_Qs_All[[#This Row],[Required?]]="No", TBL_ADD_04_Qs_All[[#This Row],[Section]]="IntSV", TBL_ADD_04_Qs_All[[#This Row],[Question / Sub-question]]="Not used"), "-", "")</f>
        <v>-</v>
      </c>
      <c r="E188" s="425" t="str">
        <f>IF(OR(TBL_ADD_04_Qs_All[[#This Row],[Type]]="Overview", TBL_ADD_04_Qs_All[[#This Row],[Type]]="Sub-question", TBL_ADD_04_Qs_All[[#This Row],[Required?]]="No", TBL_ADD_04_Qs_All[[#This Row],[Section]]="IntSV", TBL_ADD_04_Qs_All[[#This Row],[Question / Sub-question]]="Not used"), "-", "")</f>
        <v>-</v>
      </c>
      <c r="F188" s="427" t="str">
        <f>IF(OR(TBL_ADD_04_Qs_All[[#This Row],[Required?]]="No", TBL_ADD_04_Qs_All[[#This Row],[Section]]="IntSV", TBL_ADD_04_Qs_All[[#This Row],[Question / Sub-question]]="Not used"), "-", IF(TBL_ADD_04_Qs_All[[#This Row],[Type]]="Question", TBL_ADD_04_Qs_All[[#This Row],[No.subs]]*500, "-"))</f>
        <v>-</v>
      </c>
      <c r="G18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8" s="426" t="str">
        <f t="array" ref="I18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8" s="424" t="s">
        <v>332</v>
      </c>
      <c r="K188" s="426" t="s">
        <v>1316</v>
      </c>
      <c r="L188" s="428" t="s">
        <v>573</v>
      </c>
      <c r="M188" s="426" t="s">
        <v>479</v>
      </c>
      <c r="N18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89" spans="1:15">
      <c r="A189" s="424" t="str">
        <f>IF(TBL_ADD_04_Qs_All[[#This Row],[Type]]="Question", K190, IF(TBL_ADD_04_Qs_All[[#This Row],[Sub_No]]="N/A", "-", CONCATENATE(TBL_ADD_04_Qs_All[[#This Row],[Q_No]], TBL_ADD_04_Qs_All[[#This Row],[Sub_No]])))</f>
        <v>Q4.4.7</v>
      </c>
      <c r="B189" s="424" t="s">
        <v>152</v>
      </c>
      <c r="C18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89" s="426" t="str">
        <f>IF(OR(TBL_ADD_04_Qs_All[[#This Row],[Type]]="Overview", TBL_ADD_04_Qs_All[[#This Row],[Type]]="Sub-question", TBL_ADD_04_Qs_All[[#This Row],[Required?]]="No", TBL_ADD_04_Qs_All[[#This Row],[Section]]="IntSV", TBL_ADD_04_Qs_All[[#This Row],[Question / Sub-question]]="Not used"), "-", "")</f>
        <v>-</v>
      </c>
      <c r="E189" s="425" t="str">
        <f>IF(OR(TBL_ADD_04_Qs_All[[#This Row],[Type]]="Overview", TBL_ADD_04_Qs_All[[#This Row],[Type]]="Sub-question", TBL_ADD_04_Qs_All[[#This Row],[Required?]]="No", TBL_ADD_04_Qs_All[[#This Row],[Section]]="IntSV", TBL_ADD_04_Qs_All[[#This Row],[Question / Sub-question]]="Not used"), "-", "")</f>
        <v>-</v>
      </c>
      <c r="F189" s="427" t="str">
        <f>IF(OR(TBL_ADD_04_Qs_All[[#This Row],[Required?]]="No", TBL_ADD_04_Qs_All[[#This Row],[Section]]="IntSV", TBL_ADD_04_Qs_All[[#This Row],[Question / Sub-question]]="Not used"), "-", IF(TBL_ADD_04_Qs_All[[#This Row],[Type]]="Question", TBL_ADD_04_Qs_All[[#This Row],[No.subs]]*500, "-"))</f>
        <v>-</v>
      </c>
      <c r="G18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8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89" s="426" t="str">
        <f t="array" ref="I18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89" s="424" t="s">
        <v>332</v>
      </c>
      <c r="K189" s="426" t="s">
        <v>1316</v>
      </c>
      <c r="L189" s="428" t="s">
        <v>574</v>
      </c>
      <c r="M189" s="426" t="s">
        <v>479</v>
      </c>
      <c r="N18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8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0" spans="1:15">
      <c r="A190" s="424" t="str">
        <f>IF(TBL_ADD_04_Qs_All[[#This Row],[Type]]="Question", K191, IF(TBL_ADD_04_Qs_All[[#This Row],[Sub_No]]="N/A", "-", CONCATENATE(TBL_ADD_04_Qs_All[[#This Row],[Q_No]], TBL_ADD_04_Qs_All[[#This Row],[Sub_No]])))</f>
        <v>Q4.4.8</v>
      </c>
      <c r="B190" s="424" t="s">
        <v>152</v>
      </c>
      <c r="C19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0" s="426" t="str">
        <f>IF(OR(TBL_ADD_04_Qs_All[[#This Row],[Type]]="Overview", TBL_ADD_04_Qs_All[[#This Row],[Type]]="Sub-question", TBL_ADD_04_Qs_All[[#This Row],[Required?]]="No", TBL_ADD_04_Qs_All[[#This Row],[Section]]="IntSV", TBL_ADD_04_Qs_All[[#This Row],[Question / Sub-question]]="Not used"), "-", "")</f>
        <v>-</v>
      </c>
      <c r="E190" s="425" t="str">
        <f>IF(OR(TBL_ADD_04_Qs_All[[#This Row],[Type]]="Overview", TBL_ADD_04_Qs_All[[#This Row],[Type]]="Sub-question", TBL_ADD_04_Qs_All[[#This Row],[Required?]]="No", TBL_ADD_04_Qs_All[[#This Row],[Section]]="IntSV", TBL_ADD_04_Qs_All[[#This Row],[Question / Sub-question]]="Not used"), "-", "")</f>
        <v>-</v>
      </c>
      <c r="F190" s="427" t="str">
        <f>IF(OR(TBL_ADD_04_Qs_All[[#This Row],[Required?]]="No", TBL_ADD_04_Qs_All[[#This Row],[Section]]="IntSV", TBL_ADD_04_Qs_All[[#This Row],[Question / Sub-question]]="Not used"), "-", IF(TBL_ADD_04_Qs_All[[#This Row],[Type]]="Question", TBL_ADD_04_Qs_All[[#This Row],[No.subs]]*500, "-"))</f>
        <v>-</v>
      </c>
      <c r="G19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0" s="426" t="str">
        <f t="array" ref="I19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0" s="424" t="s">
        <v>332</v>
      </c>
      <c r="K190" s="426" t="s">
        <v>1316</v>
      </c>
      <c r="L190" s="428" t="s">
        <v>575</v>
      </c>
      <c r="M190" s="426" t="s">
        <v>479</v>
      </c>
      <c r="N19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1" spans="1:15">
      <c r="A191" s="424" t="str">
        <f>IF(TBL_ADD_04_Qs_All[[#This Row],[Type]]="Question", K192, IF(TBL_ADD_04_Qs_All[[#This Row],[Sub_No]]="N/A", "-", CONCATENATE(TBL_ADD_04_Qs_All[[#This Row],[Q_No]], TBL_ADD_04_Qs_All[[#This Row],[Sub_No]])))</f>
        <v>Q4.4.9</v>
      </c>
      <c r="B191" s="424" t="s">
        <v>152</v>
      </c>
      <c r="C19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1" s="426" t="str">
        <f>IF(OR(TBL_ADD_04_Qs_All[[#This Row],[Type]]="Overview", TBL_ADD_04_Qs_All[[#This Row],[Type]]="Sub-question", TBL_ADD_04_Qs_All[[#This Row],[Required?]]="No", TBL_ADD_04_Qs_All[[#This Row],[Section]]="IntSV", TBL_ADD_04_Qs_All[[#This Row],[Question / Sub-question]]="Not used"), "-", "")</f>
        <v>-</v>
      </c>
      <c r="E191" s="425" t="str">
        <f>IF(OR(TBL_ADD_04_Qs_All[[#This Row],[Type]]="Overview", TBL_ADD_04_Qs_All[[#This Row],[Type]]="Sub-question", TBL_ADD_04_Qs_All[[#This Row],[Required?]]="No", TBL_ADD_04_Qs_All[[#This Row],[Section]]="IntSV", TBL_ADD_04_Qs_All[[#This Row],[Question / Sub-question]]="Not used"), "-", "")</f>
        <v>-</v>
      </c>
      <c r="F191" s="427" t="str">
        <f>IF(OR(TBL_ADD_04_Qs_All[[#This Row],[Required?]]="No", TBL_ADD_04_Qs_All[[#This Row],[Section]]="IntSV", TBL_ADD_04_Qs_All[[#This Row],[Question / Sub-question]]="Not used"), "-", IF(TBL_ADD_04_Qs_All[[#This Row],[Type]]="Question", TBL_ADD_04_Qs_All[[#This Row],[No.subs]]*500, "-"))</f>
        <v>-</v>
      </c>
      <c r="G19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1" s="426" t="str">
        <f t="array" ref="I19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1" s="424" t="s">
        <v>332</v>
      </c>
      <c r="K191" s="426" t="s">
        <v>1316</v>
      </c>
      <c r="L191" s="428" t="s">
        <v>576</v>
      </c>
      <c r="M191" s="426" t="s">
        <v>479</v>
      </c>
      <c r="N19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2" spans="1:15">
      <c r="A192" s="424" t="str">
        <f>IF(TBL_ADD_04_Qs_All[[#This Row],[Type]]="Question", K193, IF(TBL_ADD_04_Qs_All[[#This Row],[Sub_No]]="N/A", "-", CONCATENATE(TBL_ADD_04_Qs_All[[#This Row],[Q_No]], TBL_ADD_04_Qs_All[[#This Row],[Sub_No]])))</f>
        <v>Q4.4.10</v>
      </c>
      <c r="B192" s="424" t="s">
        <v>152</v>
      </c>
      <c r="C19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2" s="426" t="str">
        <f>IF(OR(TBL_ADD_04_Qs_All[[#This Row],[Type]]="Overview", TBL_ADD_04_Qs_All[[#This Row],[Type]]="Sub-question", TBL_ADD_04_Qs_All[[#This Row],[Required?]]="No", TBL_ADD_04_Qs_All[[#This Row],[Section]]="IntSV", TBL_ADD_04_Qs_All[[#This Row],[Question / Sub-question]]="Not used"), "-", "")</f>
        <v>-</v>
      </c>
      <c r="E192" s="425" t="str">
        <f>IF(OR(TBL_ADD_04_Qs_All[[#This Row],[Type]]="Overview", TBL_ADD_04_Qs_All[[#This Row],[Type]]="Sub-question", TBL_ADD_04_Qs_All[[#This Row],[Required?]]="No", TBL_ADD_04_Qs_All[[#This Row],[Section]]="IntSV", TBL_ADD_04_Qs_All[[#This Row],[Question / Sub-question]]="Not used"), "-", "")</f>
        <v>-</v>
      </c>
      <c r="F192" s="427" t="str">
        <f>IF(OR(TBL_ADD_04_Qs_All[[#This Row],[Required?]]="No", TBL_ADD_04_Qs_All[[#This Row],[Section]]="IntSV", TBL_ADD_04_Qs_All[[#This Row],[Question / Sub-question]]="Not used"), "-", IF(TBL_ADD_04_Qs_All[[#This Row],[Type]]="Question", TBL_ADD_04_Qs_All[[#This Row],[No.subs]]*500, "-"))</f>
        <v>-</v>
      </c>
      <c r="G19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2" s="426" t="str">
        <f t="array" ref="I19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2" s="424" t="s">
        <v>332</v>
      </c>
      <c r="K192" s="426" t="s">
        <v>1316</v>
      </c>
      <c r="L192" s="428" t="s">
        <v>577</v>
      </c>
      <c r="M192" s="426" t="s">
        <v>479</v>
      </c>
      <c r="N19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3" spans="1:15" ht="13">
      <c r="A193" s="424" t="str">
        <f>IF(TBL_ADD_04_Qs_All[[#This Row],[Type]]="Question", K194, IF(TBL_ADD_04_Qs_All[[#This Row],[Sub_No]]="N/A", "-", CONCATENATE(TBL_ADD_04_Qs_All[[#This Row],[Q_No]], TBL_ADD_04_Qs_All[[#This Row],[Sub_No]])))</f>
        <v>Q4.5</v>
      </c>
      <c r="B193" s="424" t="s">
        <v>152</v>
      </c>
      <c r="C19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193" s="426" t="str">
        <f>IF(OR(TBL_ADD_04_Qs_All[[#This Row],[Type]]="Overview", TBL_ADD_04_Qs_All[[#This Row],[Type]]="Sub-question", TBL_ADD_04_Qs_All[[#This Row],[Required?]]="No", TBL_ADD_04_Qs_All[[#This Row],[Section]]="IntSV", TBL_ADD_04_Qs_All[[#This Row],[Question / Sub-question]]="Not used"), "-", "")</f>
        <v>-</v>
      </c>
      <c r="E193" s="425" t="str">
        <f>IF(OR(TBL_ADD_04_Qs_All[[#This Row],[Type]]="Overview", TBL_ADD_04_Qs_All[[#This Row],[Type]]="Sub-question", TBL_ADD_04_Qs_All[[#This Row],[Required?]]="No", TBL_ADD_04_Qs_All[[#This Row],[Section]]="IntSV", TBL_ADD_04_Qs_All[[#This Row],[Question / Sub-question]]="Not used"), "-", "")</f>
        <v>-</v>
      </c>
      <c r="F193" s="427" t="str">
        <f>IF(OR(TBL_ADD_04_Qs_All[[#This Row],[Required?]]="No", TBL_ADD_04_Qs_All[[#This Row],[Section]]="IntSV", TBL_ADD_04_Qs_All[[#This Row],[Question / Sub-question]]="Not used"), "-", IF(TBL_ADD_04_Qs_All[[#This Row],[Type]]="Question", TBL_ADD_04_Qs_All[[#This Row],[No.subs]]*500, "-"))</f>
        <v>-</v>
      </c>
      <c r="G19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193"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193" s="426">
        <f t="array" ref="I19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193" s="424" t="s">
        <v>146</v>
      </c>
      <c r="K193" s="426" t="s">
        <v>24</v>
      </c>
      <c r="L193" s="426" t="s">
        <v>24</v>
      </c>
      <c r="M193" s="426" t="s">
        <v>479</v>
      </c>
      <c r="N19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4" spans="1:15">
      <c r="A194" s="424" t="str">
        <f>IF(TBL_ADD_04_Qs_All[[#This Row],[Type]]="Question", K195, IF(TBL_ADD_04_Qs_All[[#This Row],[Sub_No]]="N/A", "-", CONCATENATE(TBL_ADD_04_Qs_All[[#This Row],[Q_No]], TBL_ADD_04_Qs_All[[#This Row],[Sub_No]])))</f>
        <v>Q4.5.1</v>
      </c>
      <c r="B194" s="424" t="s">
        <v>152</v>
      </c>
      <c r="C19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4" s="426" t="str">
        <f>IF(OR(TBL_ADD_04_Qs_All[[#This Row],[Type]]="Overview", TBL_ADD_04_Qs_All[[#This Row],[Type]]="Sub-question", TBL_ADD_04_Qs_All[[#This Row],[Required?]]="No", TBL_ADD_04_Qs_All[[#This Row],[Section]]="IntSV", TBL_ADD_04_Qs_All[[#This Row],[Question / Sub-question]]="Not used"), "-", "")</f>
        <v>-</v>
      </c>
      <c r="E194" s="425" t="str">
        <f>IF(OR(TBL_ADD_04_Qs_All[[#This Row],[Type]]="Overview", TBL_ADD_04_Qs_All[[#This Row],[Type]]="Sub-question", TBL_ADD_04_Qs_All[[#This Row],[Required?]]="No", TBL_ADD_04_Qs_All[[#This Row],[Section]]="IntSV", TBL_ADD_04_Qs_All[[#This Row],[Question / Sub-question]]="Not used"), "-", "")</f>
        <v>-</v>
      </c>
      <c r="F194" s="427" t="str">
        <f>IF(OR(TBL_ADD_04_Qs_All[[#This Row],[Required?]]="No", TBL_ADD_04_Qs_All[[#This Row],[Section]]="IntSV", TBL_ADD_04_Qs_All[[#This Row],[Question / Sub-question]]="Not used"), "-", IF(TBL_ADD_04_Qs_All[[#This Row],[Type]]="Question", TBL_ADD_04_Qs_All[[#This Row],[No.subs]]*500, "-"))</f>
        <v>-</v>
      </c>
      <c r="G19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4" s="426" t="str">
        <f t="array" ref="I19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4" s="424" t="s">
        <v>332</v>
      </c>
      <c r="K194" s="426" t="s">
        <v>1317</v>
      </c>
      <c r="L194" s="428" t="s">
        <v>568</v>
      </c>
      <c r="M194" s="426" t="s">
        <v>479</v>
      </c>
      <c r="N19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5" spans="1:15">
      <c r="A195" s="424" t="str">
        <f>IF(TBL_ADD_04_Qs_All[[#This Row],[Type]]="Question", K196, IF(TBL_ADD_04_Qs_All[[#This Row],[Sub_No]]="N/A", "-", CONCATENATE(TBL_ADD_04_Qs_All[[#This Row],[Q_No]], TBL_ADD_04_Qs_All[[#This Row],[Sub_No]])))</f>
        <v>Q4.5.2</v>
      </c>
      <c r="B195" s="424" t="s">
        <v>152</v>
      </c>
      <c r="C19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5" s="426" t="str">
        <f>IF(OR(TBL_ADD_04_Qs_All[[#This Row],[Type]]="Overview", TBL_ADD_04_Qs_All[[#This Row],[Type]]="Sub-question", TBL_ADD_04_Qs_All[[#This Row],[Required?]]="No", TBL_ADD_04_Qs_All[[#This Row],[Section]]="IntSV", TBL_ADD_04_Qs_All[[#This Row],[Question / Sub-question]]="Not used"), "-", "")</f>
        <v>-</v>
      </c>
      <c r="E195" s="425" t="str">
        <f>IF(OR(TBL_ADD_04_Qs_All[[#This Row],[Type]]="Overview", TBL_ADD_04_Qs_All[[#This Row],[Type]]="Sub-question", TBL_ADD_04_Qs_All[[#This Row],[Required?]]="No", TBL_ADD_04_Qs_All[[#This Row],[Section]]="IntSV", TBL_ADD_04_Qs_All[[#This Row],[Question / Sub-question]]="Not used"), "-", "")</f>
        <v>-</v>
      </c>
      <c r="F195" s="427" t="str">
        <f>IF(OR(TBL_ADD_04_Qs_All[[#This Row],[Required?]]="No", TBL_ADD_04_Qs_All[[#This Row],[Section]]="IntSV", TBL_ADD_04_Qs_All[[#This Row],[Question / Sub-question]]="Not used"), "-", IF(TBL_ADD_04_Qs_All[[#This Row],[Type]]="Question", TBL_ADD_04_Qs_All[[#This Row],[No.subs]]*500, "-"))</f>
        <v>-</v>
      </c>
      <c r="G19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5" s="426" t="str">
        <f t="array" ref="I19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5" s="424" t="s">
        <v>332</v>
      </c>
      <c r="K195" s="426" t="s">
        <v>1317</v>
      </c>
      <c r="L195" s="428" t="s">
        <v>572</v>
      </c>
      <c r="M195" s="426" t="s">
        <v>479</v>
      </c>
      <c r="N19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6" spans="1:15">
      <c r="A196" s="424" t="str">
        <f>IF(TBL_ADD_04_Qs_All[[#This Row],[Type]]="Question", K197, IF(TBL_ADD_04_Qs_All[[#This Row],[Sub_No]]="N/A", "-", CONCATENATE(TBL_ADD_04_Qs_All[[#This Row],[Q_No]], TBL_ADD_04_Qs_All[[#This Row],[Sub_No]])))</f>
        <v>Q4.5.3</v>
      </c>
      <c r="B196" s="424" t="s">
        <v>152</v>
      </c>
      <c r="C19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6" s="426" t="str">
        <f>IF(OR(TBL_ADD_04_Qs_All[[#This Row],[Type]]="Overview", TBL_ADD_04_Qs_All[[#This Row],[Type]]="Sub-question", TBL_ADD_04_Qs_All[[#This Row],[Required?]]="No", TBL_ADD_04_Qs_All[[#This Row],[Section]]="IntSV", TBL_ADD_04_Qs_All[[#This Row],[Question / Sub-question]]="Not used"), "-", "")</f>
        <v>-</v>
      </c>
      <c r="E196" s="425" t="str">
        <f>IF(OR(TBL_ADD_04_Qs_All[[#This Row],[Type]]="Overview", TBL_ADD_04_Qs_All[[#This Row],[Type]]="Sub-question", TBL_ADD_04_Qs_All[[#This Row],[Required?]]="No", TBL_ADD_04_Qs_All[[#This Row],[Section]]="IntSV", TBL_ADD_04_Qs_All[[#This Row],[Question / Sub-question]]="Not used"), "-", "")</f>
        <v>-</v>
      </c>
      <c r="F196" s="427" t="str">
        <f>IF(OR(TBL_ADD_04_Qs_All[[#This Row],[Required?]]="No", TBL_ADD_04_Qs_All[[#This Row],[Section]]="IntSV", TBL_ADD_04_Qs_All[[#This Row],[Question / Sub-question]]="Not used"), "-", IF(TBL_ADD_04_Qs_All[[#This Row],[Type]]="Question", TBL_ADD_04_Qs_All[[#This Row],[No.subs]]*500, "-"))</f>
        <v>-</v>
      </c>
      <c r="G19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6" s="426" t="str">
        <f t="array" ref="I19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6" s="424" t="s">
        <v>332</v>
      </c>
      <c r="K196" s="426" t="s">
        <v>1317</v>
      </c>
      <c r="L196" s="428" t="s">
        <v>569</v>
      </c>
      <c r="M196" s="426" t="s">
        <v>479</v>
      </c>
      <c r="N19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7" spans="1:15">
      <c r="A197" s="424" t="str">
        <f>IF(TBL_ADD_04_Qs_All[[#This Row],[Type]]="Question", K198, IF(TBL_ADD_04_Qs_All[[#This Row],[Sub_No]]="N/A", "-", CONCATENATE(TBL_ADD_04_Qs_All[[#This Row],[Q_No]], TBL_ADD_04_Qs_All[[#This Row],[Sub_No]])))</f>
        <v>Q4.5.4</v>
      </c>
      <c r="B197" s="424" t="s">
        <v>152</v>
      </c>
      <c r="C19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7" s="426" t="str">
        <f>IF(OR(TBL_ADD_04_Qs_All[[#This Row],[Type]]="Overview", TBL_ADD_04_Qs_All[[#This Row],[Type]]="Sub-question", TBL_ADD_04_Qs_All[[#This Row],[Required?]]="No", TBL_ADD_04_Qs_All[[#This Row],[Section]]="IntSV", TBL_ADD_04_Qs_All[[#This Row],[Question / Sub-question]]="Not used"), "-", "")</f>
        <v>-</v>
      </c>
      <c r="E197" s="425" t="str">
        <f>IF(OR(TBL_ADD_04_Qs_All[[#This Row],[Type]]="Overview", TBL_ADD_04_Qs_All[[#This Row],[Type]]="Sub-question", TBL_ADD_04_Qs_All[[#This Row],[Required?]]="No", TBL_ADD_04_Qs_All[[#This Row],[Section]]="IntSV", TBL_ADD_04_Qs_All[[#This Row],[Question / Sub-question]]="Not used"), "-", "")</f>
        <v>-</v>
      </c>
      <c r="F197" s="427" t="str">
        <f>IF(OR(TBL_ADD_04_Qs_All[[#This Row],[Required?]]="No", TBL_ADD_04_Qs_All[[#This Row],[Section]]="IntSV", TBL_ADD_04_Qs_All[[#This Row],[Question / Sub-question]]="Not used"), "-", IF(TBL_ADD_04_Qs_All[[#This Row],[Type]]="Question", TBL_ADD_04_Qs_All[[#This Row],[No.subs]]*500, "-"))</f>
        <v>-</v>
      </c>
      <c r="G19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7" s="426" t="str">
        <f t="array" ref="I19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7" s="424" t="s">
        <v>332</v>
      </c>
      <c r="K197" s="426" t="s">
        <v>1317</v>
      </c>
      <c r="L197" s="428" t="s">
        <v>570</v>
      </c>
      <c r="M197" s="426" t="s">
        <v>479</v>
      </c>
      <c r="N19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8" spans="1:15">
      <c r="A198" s="424" t="str">
        <f>IF(TBL_ADD_04_Qs_All[[#This Row],[Type]]="Question", K199, IF(TBL_ADD_04_Qs_All[[#This Row],[Sub_No]]="N/A", "-", CONCATENATE(TBL_ADD_04_Qs_All[[#This Row],[Q_No]], TBL_ADD_04_Qs_All[[#This Row],[Sub_No]])))</f>
        <v>Q4.5.5</v>
      </c>
      <c r="B198" s="424" t="s">
        <v>152</v>
      </c>
      <c r="C19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8" s="426" t="str">
        <f>IF(OR(TBL_ADD_04_Qs_All[[#This Row],[Type]]="Overview", TBL_ADD_04_Qs_All[[#This Row],[Type]]="Sub-question", TBL_ADD_04_Qs_All[[#This Row],[Required?]]="No", TBL_ADD_04_Qs_All[[#This Row],[Section]]="IntSV", TBL_ADD_04_Qs_All[[#This Row],[Question / Sub-question]]="Not used"), "-", "")</f>
        <v>-</v>
      </c>
      <c r="E198" s="425" t="str">
        <f>IF(OR(TBL_ADD_04_Qs_All[[#This Row],[Type]]="Overview", TBL_ADD_04_Qs_All[[#This Row],[Type]]="Sub-question", TBL_ADD_04_Qs_All[[#This Row],[Required?]]="No", TBL_ADD_04_Qs_All[[#This Row],[Section]]="IntSV", TBL_ADD_04_Qs_All[[#This Row],[Question / Sub-question]]="Not used"), "-", "")</f>
        <v>-</v>
      </c>
      <c r="F198" s="427" t="str">
        <f>IF(OR(TBL_ADD_04_Qs_All[[#This Row],[Required?]]="No", TBL_ADD_04_Qs_All[[#This Row],[Section]]="IntSV", TBL_ADD_04_Qs_All[[#This Row],[Question / Sub-question]]="Not used"), "-", IF(TBL_ADD_04_Qs_All[[#This Row],[Type]]="Question", TBL_ADD_04_Qs_All[[#This Row],[No.subs]]*500, "-"))</f>
        <v>-</v>
      </c>
      <c r="G19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8" s="426" t="str">
        <f t="array" ref="I19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8" s="424" t="s">
        <v>332</v>
      </c>
      <c r="K198" s="426" t="s">
        <v>1317</v>
      </c>
      <c r="L198" s="428" t="s">
        <v>571</v>
      </c>
      <c r="M198" s="426" t="s">
        <v>479</v>
      </c>
      <c r="N19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199" spans="1:15">
      <c r="A199" s="424" t="str">
        <f>IF(TBL_ADD_04_Qs_All[[#This Row],[Type]]="Question", K200, IF(TBL_ADD_04_Qs_All[[#This Row],[Sub_No]]="N/A", "-", CONCATENATE(TBL_ADD_04_Qs_All[[#This Row],[Q_No]], TBL_ADD_04_Qs_All[[#This Row],[Sub_No]])))</f>
        <v>Q4.5.6</v>
      </c>
      <c r="B199" s="424" t="s">
        <v>152</v>
      </c>
      <c r="C19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199" s="426" t="str">
        <f>IF(OR(TBL_ADD_04_Qs_All[[#This Row],[Type]]="Overview", TBL_ADD_04_Qs_All[[#This Row],[Type]]="Sub-question", TBL_ADD_04_Qs_All[[#This Row],[Required?]]="No", TBL_ADD_04_Qs_All[[#This Row],[Section]]="IntSV", TBL_ADD_04_Qs_All[[#This Row],[Question / Sub-question]]="Not used"), "-", "")</f>
        <v>-</v>
      </c>
      <c r="E199" s="425" t="str">
        <f>IF(OR(TBL_ADD_04_Qs_All[[#This Row],[Type]]="Overview", TBL_ADD_04_Qs_All[[#This Row],[Type]]="Sub-question", TBL_ADD_04_Qs_All[[#This Row],[Required?]]="No", TBL_ADD_04_Qs_All[[#This Row],[Section]]="IntSV", TBL_ADD_04_Qs_All[[#This Row],[Question / Sub-question]]="Not used"), "-", "")</f>
        <v>-</v>
      </c>
      <c r="F199" s="427" t="str">
        <f>IF(OR(TBL_ADD_04_Qs_All[[#This Row],[Required?]]="No", TBL_ADD_04_Qs_All[[#This Row],[Section]]="IntSV", TBL_ADD_04_Qs_All[[#This Row],[Question / Sub-question]]="Not used"), "-", IF(TBL_ADD_04_Qs_All[[#This Row],[Type]]="Question", TBL_ADD_04_Qs_All[[#This Row],[No.subs]]*500, "-"))</f>
        <v>-</v>
      </c>
      <c r="G19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19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199" s="426" t="str">
        <f t="array" ref="I19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199" s="424" t="s">
        <v>332</v>
      </c>
      <c r="K199" s="426" t="s">
        <v>1317</v>
      </c>
      <c r="L199" s="428" t="s">
        <v>573</v>
      </c>
      <c r="M199" s="426" t="s">
        <v>479</v>
      </c>
      <c r="N19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19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0" spans="1:15">
      <c r="A200" s="424" t="str">
        <f>IF(TBL_ADD_04_Qs_All[[#This Row],[Type]]="Question", K201, IF(TBL_ADD_04_Qs_All[[#This Row],[Sub_No]]="N/A", "-", CONCATENATE(TBL_ADD_04_Qs_All[[#This Row],[Q_No]], TBL_ADD_04_Qs_All[[#This Row],[Sub_No]])))</f>
        <v>Q4.5.7</v>
      </c>
      <c r="B200" s="424" t="s">
        <v>152</v>
      </c>
      <c r="C20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0" s="426" t="str">
        <f>IF(OR(TBL_ADD_04_Qs_All[[#This Row],[Type]]="Overview", TBL_ADD_04_Qs_All[[#This Row],[Type]]="Sub-question", TBL_ADD_04_Qs_All[[#This Row],[Required?]]="No", TBL_ADD_04_Qs_All[[#This Row],[Section]]="IntSV", TBL_ADD_04_Qs_All[[#This Row],[Question / Sub-question]]="Not used"), "-", "")</f>
        <v>-</v>
      </c>
      <c r="E200" s="425" t="str">
        <f>IF(OR(TBL_ADD_04_Qs_All[[#This Row],[Type]]="Overview", TBL_ADD_04_Qs_All[[#This Row],[Type]]="Sub-question", TBL_ADD_04_Qs_All[[#This Row],[Required?]]="No", TBL_ADD_04_Qs_All[[#This Row],[Section]]="IntSV", TBL_ADD_04_Qs_All[[#This Row],[Question / Sub-question]]="Not used"), "-", "")</f>
        <v>-</v>
      </c>
      <c r="F200" s="427" t="str">
        <f>IF(OR(TBL_ADD_04_Qs_All[[#This Row],[Required?]]="No", TBL_ADD_04_Qs_All[[#This Row],[Section]]="IntSV", TBL_ADD_04_Qs_All[[#This Row],[Question / Sub-question]]="Not used"), "-", IF(TBL_ADD_04_Qs_All[[#This Row],[Type]]="Question", TBL_ADD_04_Qs_All[[#This Row],[No.subs]]*500, "-"))</f>
        <v>-</v>
      </c>
      <c r="G20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0" s="426" t="str">
        <f t="array" ref="I20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0" s="424" t="s">
        <v>332</v>
      </c>
      <c r="K200" s="426" t="s">
        <v>1317</v>
      </c>
      <c r="L200" s="428" t="s">
        <v>574</v>
      </c>
      <c r="M200" s="426" t="s">
        <v>479</v>
      </c>
      <c r="N20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1" spans="1:15">
      <c r="A201" s="424" t="str">
        <f>IF(TBL_ADD_04_Qs_All[[#This Row],[Type]]="Question", K202, IF(TBL_ADD_04_Qs_All[[#This Row],[Sub_No]]="N/A", "-", CONCATENATE(TBL_ADD_04_Qs_All[[#This Row],[Q_No]], TBL_ADD_04_Qs_All[[#This Row],[Sub_No]])))</f>
        <v>Q4.5.8</v>
      </c>
      <c r="B201" s="424" t="s">
        <v>152</v>
      </c>
      <c r="C20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1" s="426" t="str">
        <f>IF(OR(TBL_ADD_04_Qs_All[[#This Row],[Type]]="Overview", TBL_ADD_04_Qs_All[[#This Row],[Type]]="Sub-question", TBL_ADD_04_Qs_All[[#This Row],[Required?]]="No", TBL_ADD_04_Qs_All[[#This Row],[Section]]="IntSV", TBL_ADD_04_Qs_All[[#This Row],[Question / Sub-question]]="Not used"), "-", "")</f>
        <v>-</v>
      </c>
      <c r="E201" s="425" t="str">
        <f>IF(OR(TBL_ADD_04_Qs_All[[#This Row],[Type]]="Overview", TBL_ADD_04_Qs_All[[#This Row],[Type]]="Sub-question", TBL_ADD_04_Qs_All[[#This Row],[Required?]]="No", TBL_ADD_04_Qs_All[[#This Row],[Section]]="IntSV", TBL_ADD_04_Qs_All[[#This Row],[Question / Sub-question]]="Not used"), "-", "")</f>
        <v>-</v>
      </c>
      <c r="F201" s="427" t="str">
        <f>IF(OR(TBL_ADD_04_Qs_All[[#This Row],[Required?]]="No", TBL_ADD_04_Qs_All[[#This Row],[Section]]="IntSV", TBL_ADD_04_Qs_All[[#This Row],[Question / Sub-question]]="Not used"), "-", IF(TBL_ADD_04_Qs_All[[#This Row],[Type]]="Question", TBL_ADD_04_Qs_All[[#This Row],[No.subs]]*500, "-"))</f>
        <v>-</v>
      </c>
      <c r="G20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1" s="426" t="str">
        <f t="array" ref="I20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1" s="424" t="s">
        <v>332</v>
      </c>
      <c r="K201" s="426" t="s">
        <v>1317</v>
      </c>
      <c r="L201" s="428" t="s">
        <v>575</v>
      </c>
      <c r="M201" s="426" t="s">
        <v>479</v>
      </c>
      <c r="N20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2" spans="1:15">
      <c r="A202" s="424" t="str">
        <f>IF(TBL_ADD_04_Qs_All[[#This Row],[Type]]="Question", K203, IF(TBL_ADD_04_Qs_All[[#This Row],[Sub_No]]="N/A", "-", CONCATENATE(TBL_ADD_04_Qs_All[[#This Row],[Q_No]], TBL_ADD_04_Qs_All[[#This Row],[Sub_No]])))</f>
        <v>Q4.5.9</v>
      </c>
      <c r="B202" s="424" t="s">
        <v>152</v>
      </c>
      <c r="C20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2" s="426" t="str">
        <f>IF(OR(TBL_ADD_04_Qs_All[[#This Row],[Type]]="Overview", TBL_ADD_04_Qs_All[[#This Row],[Type]]="Sub-question", TBL_ADD_04_Qs_All[[#This Row],[Required?]]="No", TBL_ADD_04_Qs_All[[#This Row],[Section]]="IntSV", TBL_ADD_04_Qs_All[[#This Row],[Question / Sub-question]]="Not used"), "-", "")</f>
        <v>-</v>
      </c>
      <c r="E202" s="425" t="str">
        <f>IF(OR(TBL_ADD_04_Qs_All[[#This Row],[Type]]="Overview", TBL_ADD_04_Qs_All[[#This Row],[Type]]="Sub-question", TBL_ADD_04_Qs_All[[#This Row],[Required?]]="No", TBL_ADD_04_Qs_All[[#This Row],[Section]]="IntSV", TBL_ADD_04_Qs_All[[#This Row],[Question / Sub-question]]="Not used"), "-", "")</f>
        <v>-</v>
      </c>
      <c r="F202" s="427" t="str">
        <f>IF(OR(TBL_ADD_04_Qs_All[[#This Row],[Required?]]="No", TBL_ADD_04_Qs_All[[#This Row],[Section]]="IntSV", TBL_ADD_04_Qs_All[[#This Row],[Question / Sub-question]]="Not used"), "-", IF(TBL_ADD_04_Qs_All[[#This Row],[Type]]="Question", TBL_ADD_04_Qs_All[[#This Row],[No.subs]]*500, "-"))</f>
        <v>-</v>
      </c>
      <c r="G20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2" s="426" t="str">
        <f t="array" ref="I20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2" s="424" t="s">
        <v>332</v>
      </c>
      <c r="K202" s="426" t="s">
        <v>1317</v>
      </c>
      <c r="L202" s="428" t="s">
        <v>576</v>
      </c>
      <c r="M202" s="426" t="s">
        <v>479</v>
      </c>
      <c r="N20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3" spans="1:15">
      <c r="A203" s="424" t="str">
        <f>IF(TBL_ADD_04_Qs_All[[#This Row],[Type]]="Question", K204, IF(TBL_ADD_04_Qs_All[[#This Row],[Sub_No]]="N/A", "-", CONCATENATE(TBL_ADD_04_Qs_All[[#This Row],[Q_No]], TBL_ADD_04_Qs_All[[#This Row],[Sub_No]])))</f>
        <v>Q4.5.10</v>
      </c>
      <c r="B203" s="424" t="s">
        <v>152</v>
      </c>
      <c r="C20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3" s="426" t="str">
        <f>IF(OR(TBL_ADD_04_Qs_All[[#This Row],[Type]]="Overview", TBL_ADD_04_Qs_All[[#This Row],[Type]]="Sub-question", TBL_ADD_04_Qs_All[[#This Row],[Required?]]="No", TBL_ADD_04_Qs_All[[#This Row],[Section]]="IntSV", TBL_ADD_04_Qs_All[[#This Row],[Question / Sub-question]]="Not used"), "-", "")</f>
        <v>-</v>
      </c>
      <c r="E203" s="425" t="str">
        <f>IF(OR(TBL_ADD_04_Qs_All[[#This Row],[Type]]="Overview", TBL_ADD_04_Qs_All[[#This Row],[Type]]="Sub-question", TBL_ADD_04_Qs_All[[#This Row],[Required?]]="No", TBL_ADD_04_Qs_All[[#This Row],[Section]]="IntSV", TBL_ADD_04_Qs_All[[#This Row],[Question / Sub-question]]="Not used"), "-", "")</f>
        <v>-</v>
      </c>
      <c r="F203" s="427" t="str">
        <f>IF(OR(TBL_ADD_04_Qs_All[[#This Row],[Required?]]="No", TBL_ADD_04_Qs_All[[#This Row],[Section]]="IntSV", TBL_ADD_04_Qs_All[[#This Row],[Question / Sub-question]]="Not used"), "-", IF(TBL_ADD_04_Qs_All[[#This Row],[Type]]="Question", TBL_ADD_04_Qs_All[[#This Row],[No.subs]]*500, "-"))</f>
        <v>-</v>
      </c>
      <c r="G20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3" s="426" t="str">
        <f t="array" ref="I20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3" s="424" t="s">
        <v>332</v>
      </c>
      <c r="K203" s="426" t="s">
        <v>1317</v>
      </c>
      <c r="L203" s="428" t="s">
        <v>577</v>
      </c>
      <c r="M203" s="426" t="s">
        <v>479</v>
      </c>
      <c r="N20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4" spans="1:15" ht="13">
      <c r="A204" s="424" t="str">
        <f>IF(TBL_ADD_04_Qs_All[[#This Row],[Type]]="Question", K205, IF(TBL_ADD_04_Qs_All[[#This Row],[Sub_No]]="N/A", "-", CONCATENATE(TBL_ADD_04_Qs_All[[#This Row],[Q_No]], TBL_ADD_04_Qs_All[[#This Row],[Sub_No]])))</f>
        <v>Q4.6</v>
      </c>
      <c r="B204" s="424" t="s">
        <v>152</v>
      </c>
      <c r="C20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04" s="426" t="str">
        <f>IF(OR(TBL_ADD_04_Qs_All[[#This Row],[Type]]="Overview", TBL_ADD_04_Qs_All[[#This Row],[Type]]="Sub-question", TBL_ADD_04_Qs_All[[#This Row],[Required?]]="No", TBL_ADD_04_Qs_All[[#This Row],[Section]]="IntSV", TBL_ADD_04_Qs_All[[#This Row],[Question / Sub-question]]="Not used"), "-", "")</f>
        <v>-</v>
      </c>
      <c r="E204" s="425" t="str">
        <f>IF(OR(TBL_ADD_04_Qs_All[[#This Row],[Type]]="Overview", TBL_ADD_04_Qs_All[[#This Row],[Type]]="Sub-question", TBL_ADD_04_Qs_All[[#This Row],[Required?]]="No", TBL_ADD_04_Qs_All[[#This Row],[Section]]="IntSV", TBL_ADD_04_Qs_All[[#This Row],[Question / Sub-question]]="Not used"), "-", "")</f>
        <v>-</v>
      </c>
      <c r="F204" s="427" t="str">
        <f>IF(OR(TBL_ADD_04_Qs_All[[#This Row],[Required?]]="No", TBL_ADD_04_Qs_All[[#This Row],[Section]]="IntSV", TBL_ADD_04_Qs_All[[#This Row],[Question / Sub-question]]="Not used"), "-", IF(TBL_ADD_04_Qs_All[[#This Row],[Type]]="Question", TBL_ADD_04_Qs_All[[#This Row],[No.subs]]*500, "-"))</f>
        <v>-</v>
      </c>
      <c r="G20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204"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204" s="426">
        <f t="array" ref="I20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204" s="424" t="s">
        <v>146</v>
      </c>
      <c r="K204" s="426" t="s">
        <v>24</v>
      </c>
      <c r="L204" s="426" t="s">
        <v>24</v>
      </c>
      <c r="M204" s="426" t="s">
        <v>479</v>
      </c>
      <c r="N20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5" spans="1:15">
      <c r="A205" s="424" t="str">
        <f>IF(TBL_ADD_04_Qs_All[[#This Row],[Type]]="Question", K206, IF(TBL_ADD_04_Qs_All[[#This Row],[Sub_No]]="N/A", "-", CONCATENATE(TBL_ADD_04_Qs_All[[#This Row],[Q_No]], TBL_ADD_04_Qs_All[[#This Row],[Sub_No]])))</f>
        <v>Q4.6.1</v>
      </c>
      <c r="B205" s="424" t="s">
        <v>152</v>
      </c>
      <c r="C20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5" s="426" t="str">
        <f>IF(OR(TBL_ADD_04_Qs_All[[#This Row],[Type]]="Overview", TBL_ADD_04_Qs_All[[#This Row],[Type]]="Sub-question", TBL_ADD_04_Qs_All[[#This Row],[Required?]]="No", TBL_ADD_04_Qs_All[[#This Row],[Section]]="IntSV", TBL_ADD_04_Qs_All[[#This Row],[Question / Sub-question]]="Not used"), "-", "")</f>
        <v>-</v>
      </c>
      <c r="E205" s="425" t="str">
        <f>IF(OR(TBL_ADD_04_Qs_All[[#This Row],[Type]]="Overview", TBL_ADD_04_Qs_All[[#This Row],[Type]]="Sub-question", TBL_ADD_04_Qs_All[[#This Row],[Required?]]="No", TBL_ADD_04_Qs_All[[#This Row],[Section]]="IntSV", TBL_ADD_04_Qs_All[[#This Row],[Question / Sub-question]]="Not used"), "-", "")</f>
        <v>-</v>
      </c>
      <c r="F205" s="427" t="str">
        <f>IF(OR(TBL_ADD_04_Qs_All[[#This Row],[Required?]]="No", TBL_ADD_04_Qs_All[[#This Row],[Section]]="IntSV", TBL_ADD_04_Qs_All[[#This Row],[Question / Sub-question]]="Not used"), "-", IF(TBL_ADD_04_Qs_All[[#This Row],[Type]]="Question", TBL_ADD_04_Qs_All[[#This Row],[No.subs]]*500, "-"))</f>
        <v>-</v>
      </c>
      <c r="G20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5" s="426" t="str">
        <f t="array" ref="I20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5" s="424" t="s">
        <v>332</v>
      </c>
      <c r="K205" s="426" t="s">
        <v>1318</v>
      </c>
      <c r="L205" s="428" t="s">
        <v>568</v>
      </c>
      <c r="M205" s="426" t="s">
        <v>479</v>
      </c>
      <c r="N20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6" spans="1:15">
      <c r="A206" s="424" t="str">
        <f>IF(TBL_ADD_04_Qs_All[[#This Row],[Type]]="Question", K207, IF(TBL_ADD_04_Qs_All[[#This Row],[Sub_No]]="N/A", "-", CONCATENATE(TBL_ADD_04_Qs_All[[#This Row],[Q_No]], TBL_ADD_04_Qs_All[[#This Row],[Sub_No]])))</f>
        <v>Q4.6.2</v>
      </c>
      <c r="B206" s="424" t="s">
        <v>152</v>
      </c>
      <c r="C20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6" s="426" t="str">
        <f>IF(OR(TBL_ADD_04_Qs_All[[#This Row],[Type]]="Overview", TBL_ADD_04_Qs_All[[#This Row],[Type]]="Sub-question", TBL_ADD_04_Qs_All[[#This Row],[Required?]]="No", TBL_ADD_04_Qs_All[[#This Row],[Section]]="IntSV", TBL_ADD_04_Qs_All[[#This Row],[Question / Sub-question]]="Not used"), "-", "")</f>
        <v>-</v>
      </c>
      <c r="E206" s="425" t="str">
        <f>IF(OR(TBL_ADD_04_Qs_All[[#This Row],[Type]]="Overview", TBL_ADD_04_Qs_All[[#This Row],[Type]]="Sub-question", TBL_ADD_04_Qs_All[[#This Row],[Required?]]="No", TBL_ADD_04_Qs_All[[#This Row],[Section]]="IntSV", TBL_ADD_04_Qs_All[[#This Row],[Question / Sub-question]]="Not used"), "-", "")</f>
        <v>-</v>
      </c>
      <c r="F206" s="427" t="str">
        <f>IF(OR(TBL_ADD_04_Qs_All[[#This Row],[Required?]]="No", TBL_ADD_04_Qs_All[[#This Row],[Section]]="IntSV", TBL_ADD_04_Qs_All[[#This Row],[Question / Sub-question]]="Not used"), "-", IF(TBL_ADD_04_Qs_All[[#This Row],[Type]]="Question", TBL_ADD_04_Qs_All[[#This Row],[No.subs]]*500, "-"))</f>
        <v>-</v>
      </c>
      <c r="G20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6" s="426" t="str">
        <f t="array" ref="I20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6" s="424" t="s">
        <v>332</v>
      </c>
      <c r="K206" s="426" t="s">
        <v>1318</v>
      </c>
      <c r="L206" s="428" t="s">
        <v>572</v>
      </c>
      <c r="M206" s="426" t="s">
        <v>479</v>
      </c>
      <c r="N20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7" spans="1:15">
      <c r="A207" s="424" t="str">
        <f>IF(TBL_ADD_04_Qs_All[[#This Row],[Type]]="Question", K208, IF(TBL_ADD_04_Qs_All[[#This Row],[Sub_No]]="N/A", "-", CONCATENATE(TBL_ADD_04_Qs_All[[#This Row],[Q_No]], TBL_ADD_04_Qs_All[[#This Row],[Sub_No]])))</f>
        <v>Q4.6.3</v>
      </c>
      <c r="B207" s="424" t="s">
        <v>152</v>
      </c>
      <c r="C20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7" s="426" t="str">
        <f>IF(OR(TBL_ADD_04_Qs_All[[#This Row],[Type]]="Overview", TBL_ADD_04_Qs_All[[#This Row],[Type]]="Sub-question", TBL_ADD_04_Qs_All[[#This Row],[Required?]]="No", TBL_ADD_04_Qs_All[[#This Row],[Section]]="IntSV", TBL_ADD_04_Qs_All[[#This Row],[Question / Sub-question]]="Not used"), "-", "")</f>
        <v>-</v>
      </c>
      <c r="E207" s="425" t="str">
        <f>IF(OR(TBL_ADD_04_Qs_All[[#This Row],[Type]]="Overview", TBL_ADD_04_Qs_All[[#This Row],[Type]]="Sub-question", TBL_ADD_04_Qs_All[[#This Row],[Required?]]="No", TBL_ADD_04_Qs_All[[#This Row],[Section]]="IntSV", TBL_ADD_04_Qs_All[[#This Row],[Question / Sub-question]]="Not used"), "-", "")</f>
        <v>-</v>
      </c>
      <c r="F207" s="427" t="str">
        <f>IF(OR(TBL_ADD_04_Qs_All[[#This Row],[Required?]]="No", TBL_ADD_04_Qs_All[[#This Row],[Section]]="IntSV", TBL_ADD_04_Qs_All[[#This Row],[Question / Sub-question]]="Not used"), "-", IF(TBL_ADD_04_Qs_All[[#This Row],[Type]]="Question", TBL_ADD_04_Qs_All[[#This Row],[No.subs]]*500, "-"))</f>
        <v>-</v>
      </c>
      <c r="G20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7" s="426" t="str">
        <f t="array" ref="I20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7" s="424" t="s">
        <v>332</v>
      </c>
      <c r="K207" s="426" t="s">
        <v>1318</v>
      </c>
      <c r="L207" s="428" t="s">
        <v>569</v>
      </c>
      <c r="M207" s="426" t="s">
        <v>479</v>
      </c>
      <c r="N20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8" spans="1:15">
      <c r="A208" s="424" t="str">
        <f>IF(TBL_ADD_04_Qs_All[[#This Row],[Type]]="Question", K209, IF(TBL_ADD_04_Qs_All[[#This Row],[Sub_No]]="N/A", "-", CONCATENATE(TBL_ADD_04_Qs_All[[#This Row],[Q_No]], TBL_ADD_04_Qs_All[[#This Row],[Sub_No]])))</f>
        <v>Q4.6.4</v>
      </c>
      <c r="B208" s="424" t="s">
        <v>152</v>
      </c>
      <c r="C20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8" s="426" t="str">
        <f>IF(OR(TBL_ADD_04_Qs_All[[#This Row],[Type]]="Overview", TBL_ADD_04_Qs_All[[#This Row],[Type]]="Sub-question", TBL_ADD_04_Qs_All[[#This Row],[Required?]]="No", TBL_ADD_04_Qs_All[[#This Row],[Section]]="IntSV", TBL_ADD_04_Qs_All[[#This Row],[Question / Sub-question]]="Not used"), "-", "")</f>
        <v>-</v>
      </c>
      <c r="E208" s="425" t="str">
        <f>IF(OR(TBL_ADD_04_Qs_All[[#This Row],[Type]]="Overview", TBL_ADD_04_Qs_All[[#This Row],[Type]]="Sub-question", TBL_ADD_04_Qs_All[[#This Row],[Required?]]="No", TBL_ADD_04_Qs_All[[#This Row],[Section]]="IntSV", TBL_ADD_04_Qs_All[[#This Row],[Question / Sub-question]]="Not used"), "-", "")</f>
        <v>-</v>
      </c>
      <c r="F208" s="427" t="str">
        <f>IF(OR(TBL_ADD_04_Qs_All[[#This Row],[Required?]]="No", TBL_ADD_04_Qs_All[[#This Row],[Section]]="IntSV", TBL_ADD_04_Qs_All[[#This Row],[Question / Sub-question]]="Not used"), "-", IF(TBL_ADD_04_Qs_All[[#This Row],[Type]]="Question", TBL_ADD_04_Qs_All[[#This Row],[No.subs]]*500, "-"))</f>
        <v>-</v>
      </c>
      <c r="G20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8" s="426" t="str">
        <f t="array" ref="I20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8" s="424" t="s">
        <v>332</v>
      </c>
      <c r="K208" s="426" t="s">
        <v>1318</v>
      </c>
      <c r="L208" s="428" t="s">
        <v>570</v>
      </c>
      <c r="M208" s="426" t="s">
        <v>479</v>
      </c>
      <c r="N20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09" spans="1:15">
      <c r="A209" s="424" t="str">
        <f>IF(TBL_ADD_04_Qs_All[[#This Row],[Type]]="Question", K210, IF(TBL_ADD_04_Qs_All[[#This Row],[Sub_No]]="N/A", "-", CONCATENATE(TBL_ADD_04_Qs_All[[#This Row],[Q_No]], TBL_ADD_04_Qs_All[[#This Row],[Sub_No]])))</f>
        <v>Q4.6.5</v>
      </c>
      <c r="B209" s="424" t="s">
        <v>152</v>
      </c>
      <c r="C20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09" s="426" t="str">
        <f>IF(OR(TBL_ADD_04_Qs_All[[#This Row],[Type]]="Overview", TBL_ADD_04_Qs_All[[#This Row],[Type]]="Sub-question", TBL_ADD_04_Qs_All[[#This Row],[Required?]]="No", TBL_ADD_04_Qs_All[[#This Row],[Section]]="IntSV", TBL_ADD_04_Qs_All[[#This Row],[Question / Sub-question]]="Not used"), "-", "")</f>
        <v>-</v>
      </c>
      <c r="E209" s="425" t="str">
        <f>IF(OR(TBL_ADD_04_Qs_All[[#This Row],[Type]]="Overview", TBL_ADD_04_Qs_All[[#This Row],[Type]]="Sub-question", TBL_ADD_04_Qs_All[[#This Row],[Required?]]="No", TBL_ADD_04_Qs_All[[#This Row],[Section]]="IntSV", TBL_ADD_04_Qs_All[[#This Row],[Question / Sub-question]]="Not used"), "-", "")</f>
        <v>-</v>
      </c>
      <c r="F209" s="427" t="str">
        <f>IF(OR(TBL_ADD_04_Qs_All[[#This Row],[Required?]]="No", TBL_ADD_04_Qs_All[[#This Row],[Section]]="IntSV", TBL_ADD_04_Qs_All[[#This Row],[Question / Sub-question]]="Not used"), "-", IF(TBL_ADD_04_Qs_All[[#This Row],[Type]]="Question", TBL_ADD_04_Qs_All[[#This Row],[No.subs]]*500, "-"))</f>
        <v>-</v>
      </c>
      <c r="G20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0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09" s="426" t="str">
        <f t="array" ref="I20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09" s="424" t="s">
        <v>332</v>
      </c>
      <c r="K209" s="426" t="s">
        <v>1318</v>
      </c>
      <c r="L209" s="428" t="s">
        <v>571</v>
      </c>
      <c r="M209" s="426" t="s">
        <v>479</v>
      </c>
      <c r="N20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0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0" spans="1:15">
      <c r="A210" s="424" t="str">
        <f>IF(TBL_ADD_04_Qs_All[[#This Row],[Type]]="Question", K211, IF(TBL_ADD_04_Qs_All[[#This Row],[Sub_No]]="N/A", "-", CONCATENATE(TBL_ADD_04_Qs_All[[#This Row],[Q_No]], TBL_ADD_04_Qs_All[[#This Row],[Sub_No]])))</f>
        <v>Q4.6.6</v>
      </c>
      <c r="B210" s="424" t="s">
        <v>152</v>
      </c>
      <c r="C21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0" s="426" t="str">
        <f>IF(OR(TBL_ADD_04_Qs_All[[#This Row],[Type]]="Overview", TBL_ADD_04_Qs_All[[#This Row],[Type]]="Sub-question", TBL_ADD_04_Qs_All[[#This Row],[Required?]]="No", TBL_ADD_04_Qs_All[[#This Row],[Section]]="IntSV", TBL_ADD_04_Qs_All[[#This Row],[Question / Sub-question]]="Not used"), "-", "")</f>
        <v>-</v>
      </c>
      <c r="E210" s="425" t="str">
        <f>IF(OR(TBL_ADD_04_Qs_All[[#This Row],[Type]]="Overview", TBL_ADD_04_Qs_All[[#This Row],[Type]]="Sub-question", TBL_ADD_04_Qs_All[[#This Row],[Required?]]="No", TBL_ADD_04_Qs_All[[#This Row],[Section]]="IntSV", TBL_ADD_04_Qs_All[[#This Row],[Question / Sub-question]]="Not used"), "-", "")</f>
        <v>-</v>
      </c>
      <c r="F210" s="427" t="str">
        <f>IF(OR(TBL_ADD_04_Qs_All[[#This Row],[Required?]]="No", TBL_ADD_04_Qs_All[[#This Row],[Section]]="IntSV", TBL_ADD_04_Qs_All[[#This Row],[Question / Sub-question]]="Not used"), "-", IF(TBL_ADD_04_Qs_All[[#This Row],[Type]]="Question", TBL_ADD_04_Qs_All[[#This Row],[No.subs]]*500, "-"))</f>
        <v>-</v>
      </c>
      <c r="G21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0" s="426" t="str">
        <f t="array" ref="I21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0" s="424" t="s">
        <v>332</v>
      </c>
      <c r="K210" s="426" t="s">
        <v>1318</v>
      </c>
      <c r="L210" s="428" t="s">
        <v>573</v>
      </c>
      <c r="M210" s="426" t="s">
        <v>479</v>
      </c>
      <c r="N21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1" spans="1:15">
      <c r="A211" s="424" t="str">
        <f>IF(TBL_ADD_04_Qs_All[[#This Row],[Type]]="Question", K212, IF(TBL_ADD_04_Qs_All[[#This Row],[Sub_No]]="N/A", "-", CONCATENATE(TBL_ADD_04_Qs_All[[#This Row],[Q_No]], TBL_ADD_04_Qs_All[[#This Row],[Sub_No]])))</f>
        <v>Q4.6.7</v>
      </c>
      <c r="B211" s="424" t="s">
        <v>152</v>
      </c>
      <c r="C21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1" s="426" t="str">
        <f>IF(OR(TBL_ADD_04_Qs_All[[#This Row],[Type]]="Overview", TBL_ADD_04_Qs_All[[#This Row],[Type]]="Sub-question", TBL_ADD_04_Qs_All[[#This Row],[Required?]]="No", TBL_ADD_04_Qs_All[[#This Row],[Section]]="IntSV", TBL_ADD_04_Qs_All[[#This Row],[Question / Sub-question]]="Not used"), "-", "")</f>
        <v>-</v>
      </c>
      <c r="E211" s="425" t="str">
        <f>IF(OR(TBL_ADD_04_Qs_All[[#This Row],[Type]]="Overview", TBL_ADD_04_Qs_All[[#This Row],[Type]]="Sub-question", TBL_ADD_04_Qs_All[[#This Row],[Required?]]="No", TBL_ADD_04_Qs_All[[#This Row],[Section]]="IntSV", TBL_ADD_04_Qs_All[[#This Row],[Question / Sub-question]]="Not used"), "-", "")</f>
        <v>-</v>
      </c>
      <c r="F211" s="427" t="str">
        <f>IF(OR(TBL_ADD_04_Qs_All[[#This Row],[Required?]]="No", TBL_ADD_04_Qs_All[[#This Row],[Section]]="IntSV", TBL_ADD_04_Qs_All[[#This Row],[Question / Sub-question]]="Not used"), "-", IF(TBL_ADD_04_Qs_All[[#This Row],[Type]]="Question", TBL_ADD_04_Qs_All[[#This Row],[No.subs]]*500, "-"))</f>
        <v>-</v>
      </c>
      <c r="G21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1" s="426" t="str">
        <f t="array" ref="I21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1" s="424" t="s">
        <v>332</v>
      </c>
      <c r="K211" s="426" t="s">
        <v>1318</v>
      </c>
      <c r="L211" s="428" t="s">
        <v>574</v>
      </c>
      <c r="M211" s="426" t="s">
        <v>479</v>
      </c>
      <c r="N21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2" spans="1:15">
      <c r="A212" s="424" t="str">
        <f>IF(TBL_ADD_04_Qs_All[[#This Row],[Type]]="Question", K213, IF(TBL_ADD_04_Qs_All[[#This Row],[Sub_No]]="N/A", "-", CONCATENATE(TBL_ADD_04_Qs_All[[#This Row],[Q_No]], TBL_ADD_04_Qs_All[[#This Row],[Sub_No]])))</f>
        <v>Q4.6.8</v>
      </c>
      <c r="B212" s="424" t="s">
        <v>152</v>
      </c>
      <c r="C21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2" s="426" t="str">
        <f>IF(OR(TBL_ADD_04_Qs_All[[#This Row],[Type]]="Overview", TBL_ADD_04_Qs_All[[#This Row],[Type]]="Sub-question", TBL_ADD_04_Qs_All[[#This Row],[Required?]]="No", TBL_ADD_04_Qs_All[[#This Row],[Section]]="IntSV", TBL_ADD_04_Qs_All[[#This Row],[Question / Sub-question]]="Not used"), "-", "")</f>
        <v>-</v>
      </c>
      <c r="E212" s="425" t="str">
        <f>IF(OR(TBL_ADD_04_Qs_All[[#This Row],[Type]]="Overview", TBL_ADD_04_Qs_All[[#This Row],[Type]]="Sub-question", TBL_ADD_04_Qs_All[[#This Row],[Required?]]="No", TBL_ADD_04_Qs_All[[#This Row],[Section]]="IntSV", TBL_ADD_04_Qs_All[[#This Row],[Question / Sub-question]]="Not used"), "-", "")</f>
        <v>-</v>
      </c>
      <c r="F212" s="427" t="str">
        <f>IF(OR(TBL_ADD_04_Qs_All[[#This Row],[Required?]]="No", TBL_ADD_04_Qs_All[[#This Row],[Section]]="IntSV", TBL_ADD_04_Qs_All[[#This Row],[Question / Sub-question]]="Not used"), "-", IF(TBL_ADD_04_Qs_All[[#This Row],[Type]]="Question", TBL_ADD_04_Qs_All[[#This Row],[No.subs]]*500, "-"))</f>
        <v>-</v>
      </c>
      <c r="G21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2" s="426" t="str">
        <f t="array" ref="I21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2" s="424" t="s">
        <v>332</v>
      </c>
      <c r="K212" s="426" t="s">
        <v>1318</v>
      </c>
      <c r="L212" s="428" t="s">
        <v>575</v>
      </c>
      <c r="M212" s="426" t="s">
        <v>479</v>
      </c>
      <c r="N21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3" spans="1:15">
      <c r="A213" s="424" t="str">
        <f>IF(TBL_ADD_04_Qs_All[[#This Row],[Type]]="Question", K214, IF(TBL_ADD_04_Qs_All[[#This Row],[Sub_No]]="N/A", "-", CONCATENATE(TBL_ADD_04_Qs_All[[#This Row],[Q_No]], TBL_ADD_04_Qs_All[[#This Row],[Sub_No]])))</f>
        <v>Q4.6.9</v>
      </c>
      <c r="B213" s="424" t="s">
        <v>152</v>
      </c>
      <c r="C21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3" s="426" t="str">
        <f>IF(OR(TBL_ADD_04_Qs_All[[#This Row],[Type]]="Overview", TBL_ADD_04_Qs_All[[#This Row],[Type]]="Sub-question", TBL_ADD_04_Qs_All[[#This Row],[Required?]]="No", TBL_ADD_04_Qs_All[[#This Row],[Section]]="IntSV", TBL_ADD_04_Qs_All[[#This Row],[Question / Sub-question]]="Not used"), "-", "")</f>
        <v>-</v>
      </c>
      <c r="E213" s="425" t="str">
        <f>IF(OR(TBL_ADD_04_Qs_All[[#This Row],[Type]]="Overview", TBL_ADD_04_Qs_All[[#This Row],[Type]]="Sub-question", TBL_ADD_04_Qs_All[[#This Row],[Required?]]="No", TBL_ADD_04_Qs_All[[#This Row],[Section]]="IntSV", TBL_ADD_04_Qs_All[[#This Row],[Question / Sub-question]]="Not used"), "-", "")</f>
        <v>-</v>
      </c>
      <c r="F213" s="427" t="str">
        <f>IF(OR(TBL_ADD_04_Qs_All[[#This Row],[Required?]]="No", TBL_ADD_04_Qs_All[[#This Row],[Section]]="IntSV", TBL_ADD_04_Qs_All[[#This Row],[Question / Sub-question]]="Not used"), "-", IF(TBL_ADD_04_Qs_All[[#This Row],[Type]]="Question", TBL_ADD_04_Qs_All[[#This Row],[No.subs]]*500, "-"))</f>
        <v>-</v>
      </c>
      <c r="G21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3" s="426" t="str">
        <f t="array" ref="I21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3" s="424" t="s">
        <v>332</v>
      </c>
      <c r="K213" s="426" t="s">
        <v>1318</v>
      </c>
      <c r="L213" s="428" t="s">
        <v>576</v>
      </c>
      <c r="M213" s="426" t="s">
        <v>479</v>
      </c>
      <c r="N21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4" spans="1:15">
      <c r="A214" s="424" t="str">
        <f>IF(TBL_ADD_04_Qs_All[[#This Row],[Type]]="Question", K215, IF(TBL_ADD_04_Qs_All[[#This Row],[Sub_No]]="N/A", "-", CONCATENATE(TBL_ADD_04_Qs_All[[#This Row],[Q_No]], TBL_ADD_04_Qs_All[[#This Row],[Sub_No]])))</f>
        <v>Q4.6.10</v>
      </c>
      <c r="B214" s="424" t="s">
        <v>152</v>
      </c>
      <c r="C21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4" s="426" t="str">
        <f>IF(OR(TBL_ADD_04_Qs_All[[#This Row],[Type]]="Overview", TBL_ADD_04_Qs_All[[#This Row],[Type]]="Sub-question", TBL_ADD_04_Qs_All[[#This Row],[Required?]]="No", TBL_ADD_04_Qs_All[[#This Row],[Section]]="IntSV", TBL_ADD_04_Qs_All[[#This Row],[Question / Sub-question]]="Not used"), "-", "")</f>
        <v>-</v>
      </c>
      <c r="E214" s="425" t="str">
        <f>IF(OR(TBL_ADD_04_Qs_All[[#This Row],[Type]]="Overview", TBL_ADD_04_Qs_All[[#This Row],[Type]]="Sub-question", TBL_ADD_04_Qs_All[[#This Row],[Required?]]="No", TBL_ADD_04_Qs_All[[#This Row],[Section]]="IntSV", TBL_ADD_04_Qs_All[[#This Row],[Question / Sub-question]]="Not used"), "-", "")</f>
        <v>-</v>
      </c>
      <c r="F214" s="427" t="str">
        <f>IF(OR(TBL_ADD_04_Qs_All[[#This Row],[Required?]]="No", TBL_ADD_04_Qs_All[[#This Row],[Section]]="IntSV", TBL_ADD_04_Qs_All[[#This Row],[Question / Sub-question]]="Not used"), "-", IF(TBL_ADD_04_Qs_All[[#This Row],[Type]]="Question", TBL_ADD_04_Qs_All[[#This Row],[No.subs]]*500, "-"))</f>
        <v>-</v>
      </c>
      <c r="G21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4" s="426" t="str">
        <f t="array" ref="I21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4" s="424" t="s">
        <v>332</v>
      </c>
      <c r="K214" s="426" t="s">
        <v>1318</v>
      </c>
      <c r="L214" s="428" t="s">
        <v>577</v>
      </c>
      <c r="M214" s="426" t="s">
        <v>479</v>
      </c>
      <c r="N21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5" spans="1:15" ht="13">
      <c r="A215" s="424" t="str">
        <f>IF(TBL_ADD_04_Qs_All[[#This Row],[Type]]="Question", K216, IF(TBL_ADD_04_Qs_All[[#This Row],[Sub_No]]="N/A", "-", CONCATENATE(TBL_ADD_04_Qs_All[[#This Row],[Q_No]], TBL_ADD_04_Qs_All[[#This Row],[Sub_No]])))</f>
        <v>Q4.7</v>
      </c>
      <c r="B215" s="424" t="s">
        <v>152</v>
      </c>
      <c r="C21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15" s="426" t="str">
        <f>IF(OR(TBL_ADD_04_Qs_All[[#This Row],[Type]]="Overview", TBL_ADD_04_Qs_All[[#This Row],[Type]]="Sub-question", TBL_ADD_04_Qs_All[[#This Row],[Required?]]="No", TBL_ADD_04_Qs_All[[#This Row],[Section]]="IntSV", TBL_ADD_04_Qs_All[[#This Row],[Question / Sub-question]]="Not used"), "-", "")</f>
        <v>-</v>
      </c>
      <c r="E215" s="425" t="str">
        <f>IF(OR(TBL_ADD_04_Qs_All[[#This Row],[Type]]="Overview", TBL_ADD_04_Qs_All[[#This Row],[Type]]="Sub-question", TBL_ADD_04_Qs_All[[#This Row],[Required?]]="No", TBL_ADD_04_Qs_All[[#This Row],[Section]]="IntSV", TBL_ADD_04_Qs_All[[#This Row],[Question / Sub-question]]="Not used"), "-", "")</f>
        <v>-</v>
      </c>
      <c r="F215" s="427" t="str">
        <f>IF(OR(TBL_ADD_04_Qs_All[[#This Row],[Required?]]="No", TBL_ADD_04_Qs_All[[#This Row],[Section]]="IntSV", TBL_ADD_04_Qs_All[[#This Row],[Question / Sub-question]]="Not used"), "-", IF(TBL_ADD_04_Qs_All[[#This Row],[Type]]="Question", TBL_ADD_04_Qs_All[[#This Row],[No.subs]]*500, "-"))</f>
        <v>-</v>
      </c>
      <c r="G21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215"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215" s="426">
        <f t="array" ref="I21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215" s="424" t="s">
        <v>146</v>
      </c>
      <c r="K215" s="426" t="s">
        <v>24</v>
      </c>
      <c r="L215" s="426" t="s">
        <v>24</v>
      </c>
      <c r="M215" s="426" t="s">
        <v>479</v>
      </c>
      <c r="N21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6" spans="1:15">
      <c r="A216" s="424" t="str">
        <f>IF(TBL_ADD_04_Qs_All[[#This Row],[Type]]="Question", K217, IF(TBL_ADD_04_Qs_All[[#This Row],[Sub_No]]="N/A", "-", CONCATENATE(TBL_ADD_04_Qs_All[[#This Row],[Q_No]], TBL_ADD_04_Qs_All[[#This Row],[Sub_No]])))</f>
        <v>Q4.7.1</v>
      </c>
      <c r="B216" s="424" t="s">
        <v>152</v>
      </c>
      <c r="C21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6" s="426" t="str">
        <f>IF(OR(TBL_ADD_04_Qs_All[[#This Row],[Type]]="Overview", TBL_ADD_04_Qs_All[[#This Row],[Type]]="Sub-question", TBL_ADD_04_Qs_All[[#This Row],[Required?]]="No", TBL_ADD_04_Qs_All[[#This Row],[Section]]="IntSV", TBL_ADD_04_Qs_All[[#This Row],[Question / Sub-question]]="Not used"), "-", "")</f>
        <v>-</v>
      </c>
      <c r="E216" s="425" t="str">
        <f>IF(OR(TBL_ADD_04_Qs_All[[#This Row],[Type]]="Overview", TBL_ADD_04_Qs_All[[#This Row],[Type]]="Sub-question", TBL_ADD_04_Qs_All[[#This Row],[Required?]]="No", TBL_ADD_04_Qs_All[[#This Row],[Section]]="IntSV", TBL_ADD_04_Qs_All[[#This Row],[Question / Sub-question]]="Not used"), "-", "")</f>
        <v>-</v>
      </c>
      <c r="F216" s="427" t="str">
        <f>IF(OR(TBL_ADD_04_Qs_All[[#This Row],[Required?]]="No", TBL_ADD_04_Qs_All[[#This Row],[Section]]="IntSV", TBL_ADD_04_Qs_All[[#This Row],[Question / Sub-question]]="Not used"), "-", IF(TBL_ADD_04_Qs_All[[#This Row],[Type]]="Question", TBL_ADD_04_Qs_All[[#This Row],[No.subs]]*500, "-"))</f>
        <v>-</v>
      </c>
      <c r="G21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6" s="426" t="str">
        <f t="array" ref="I21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6" s="424" t="s">
        <v>332</v>
      </c>
      <c r="K216" s="426" t="s">
        <v>1319</v>
      </c>
      <c r="L216" s="428" t="s">
        <v>568</v>
      </c>
      <c r="M216" s="426" t="s">
        <v>479</v>
      </c>
      <c r="N21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7" spans="1:15">
      <c r="A217" s="424" t="str">
        <f>IF(TBL_ADD_04_Qs_All[[#This Row],[Type]]="Question", K218, IF(TBL_ADD_04_Qs_All[[#This Row],[Sub_No]]="N/A", "-", CONCATENATE(TBL_ADD_04_Qs_All[[#This Row],[Q_No]], TBL_ADD_04_Qs_All[[#This Row],[Sub_No]])))</f>
        <v>Q4.7.2</v>
      </c>
      <c r="B217" s="424" t="s">
        <v>152</v>
      </c>
      <c r="C21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7" s="426" t="str">
        <f>IF(OR(TBL_ADD_04_Qs_All[[#This Row],[Type]]="Overview", TBL_ADD_04_Qs_All[[#This Row],[Type]]="Sub-question", TBL_ADD_04_Qs_All[[#This Row],[Required?]]="No", TBL_ADD_04_Qs_All[[#This Row],[Section]]="IntSV", TBL_ADD_04_Qs_All[[#This Row],[Question / Sub-question]]="Not used"), "-", "")</f>
        <v>-</v>
      </c>
      <c r="E217" s="425" t="str">
        <f>IF(OR(TBL_ADD_04_Qs_All[[#This Row],[Type]]="Overview", TBL_ADD_04_Qs_All[[#This Row],[Type]]="Sub-question", TBL_ADD_04_Qs_All[[#This Row],[Required?]]="No", TBL_ADD_04_Qs_All[[#This Row],[Section]]="IntSV", TBL_ADD_04_Qs_All[[#This Row],[Question / Sub-question]]="Not used"), "-", "")</f>
        <v>-</v>
      </c>
      <c r="F217" s="427" t="str">
        <f>IF(OR(TBL_ADD_04_Qs_All[[#This Row],[Required?]]="No", TBL_ADD_04_Qs_All[[#This Row],[Section]]="IntSV", TBL_ADD_04_Qs_All[[#This Row],[Question / Sub-question]]="Not used"), "-", IF(TBL_ADD_04_Qs_All[[#This Row],[Type]]="Question", TBL_ADD_04_Qs_All[[#This Row],[No.subs]]*500, "-"))</f>
        <v>-</v>
      </c>
      <c r="G21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7" s="426" t="str">
        <f t="array" ref="I21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7" s="424" t="s">
        <v>332</v>
      </c>
      <c r="K217" s="426" t="s">
        <v>1319</v>
      </c>
      <c r="L217" s="428" t="s">
        <v>572</v>
      </c>
      <c r="M217" s="426" t="s">
        <v>479</v>
      </c>
      <c r="N21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8" spans="1:15">
      <c r="A218" s="424" t="str">
        <f>IF(TBL_ADD_04_Qs_All[[#This Row],[Type]]="Question", K219, IF(TBL_ADD_04_Qs_All[[#This Row],[Sub_No]]="N/A", "-", CONCATENATE(TBL_ADD_04_Qs_All[[#This Row],[Q_No]], TBL_ADD_04_Qs_All[[#This Row],[Sub_No]])))</f>
        <v>Q4.7.3</v>
      </c>
      <c r="B218" s="424" t="s">
        <v>152</v>
      </c>
      <c r="C21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8" s="426" t="str">
        <f>IF(OR(TBL_ADD_04_Qs_All[[#This Row],[Type]]="Overview", TBL_ADD_04_Qs_All[[#This Row],[Type]]="Sub-question", TBL_ADD_04_Qs_All[[#This Row],[Required?]]="No", TBL_ADD_04_Qs_All[[#This Row],[Section]]="IntSV", TBL_ADD_04_Qs_All[[#This Row],[Question / Sub-question]]="Not used"), "-", "")</f>
        <v>-</v>
      </c>
      <c r="E218" s="425" t="str">
        <f>IF(OR(TBL_ADD_04_Qs_All[[#This Row],[Type]]="Overview", TBL_ADD_04_Qs_All[[#This Row],[Type]]="Sub-question", TBL_ADD_04_Qs_All[[#This Row],[Required?]]="No", TBL_ADD_04_Qs_All[[#This Row],[Section]]="IntSV", TBL_ADD_04_Qs_All[[#This Row],[Question / Sub-question]]="Not used"), "-", "")</f>
        <v>-</v>
      </c>
      <c r="F218" s="427" t="str">
        <f>IF(OR(TBL_ADD_04_Qs_All[[#This Row],[Required?]]="No", TBL_ADD_04_Qs_All[[#This Row],[Section]]="IntSV", TBL_ADD_04_Qs_All[[#This Row],[Question / Sub-question]]="Not used"), "-", IF(TBL_ADD_04_Qs_All[[#This Row],[Type]]="Question", TBL_ADD_04_Qs_All[[#This Row],[No.subs]]*500, "-"))</f>
        <v>-</v>
      </c>
      <c r="G21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8" s="426" t="str">
        <f t="array" ref="I21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8" s="424" t="s">
        <v>332</v>
      </c>
      <c r="K218" s="426" t="s">
        <v>1319</v>
      </c>
      <c r="L218" s="428" t="s">
        <v>569</v>
      </c>
      <c r="M218" s="426" t="s">
        <v>479</v>
      </c>
      <c r="N21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19" spans="1:15">
      <c r="A219" s="424" t="str">
        <f>IF(TBL_ADD_04_Qs_All[[#This Row],[Type]]="Question", K220, IF(TBL_ADD_04_Qs_All[[#This Row],[Sub_No]]="N/A", "-", CONCATENATE(TBL_ADD_04_Qs_All[[#This Row],[Q_No]], TBL_ADD_04_Qs_All[[#This Row],[Sub_No]])))</f>
        <v>Q4.7.4</v>
      </c>
      <c r="B219" s="424" t="s">
        <v>152</v>
      </c>
      <c r="C21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19" s="426" t="str">
        <f>IF(OR(TBL_ADD_04_Qs_All[[#This Row],[Type]]="Overview", TBL_ADD_04_Qs_All[[#This Row],[Type]]="Sub-question", TBL_ADD_04_Qs_All[[#This Row],[Required?]]="No", TBL_ADD_04_Qs_All[[#This Row],[Section]]="IntSV", TBL_ADD_04_Qs_All[[#This Row],[Question / Sub-question]]="Not used"), "-", "")</f>
        <v>-</v>
      </c>
      <c r="E219" s="425" t="str">
        <f>IF(OR(TBL_ADD_04_Qs_All[[#This Row],[Type]]="Overview", TBL_ADD_04_Qs_All[[#This Row],[Type]]="Sub-question", TBL_ADD_04_Qs_All[[#This Row],[Required?]]="No", TBL_ADD_04_Qs_All[[#This Row],[Section]]="IntSV", TBL_ADD_04_Qs_All[[#This Row],[Question / Sub-question]]="Not used"), "-", "")</f>
        <v>-</v>
      </c>
      <c r="F219" s="427" t="str">
        <f>IF(OR(TBL_ADD_04_Qs_All[[#This Row],[Required?]]="No", TBL_ADD_04_Qs_All[[#This Row],[Section]]="IntSV", TBL_ADD_04_Qs_All[[#This Row],[Question / Sub-question]]="Not used"), "-", IF(TBL_ADD_04_Qs_All[[#This Row],[Type]]="Question", TBL_ADD_04_Qs_All[[#This Row],[No.subs]]*500, "-"))</f>
        <v>-</v>
      </c>
      <c r="G21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1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19" s="426" t="str">
        <f t="array" ref="I21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19" s="424" t="s">
        <v>332</v>
      </c>
      <c r="K219" s="426" t="s">
        <v>1319</v>
      </c>
      <c r="L219" s="428" t="s">
        <v>570</v>
      </c>
      <c r="M219" s="426" t="s">
        <v>479</v>
      </c>
      <c r="N21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1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0" spans="1:15">
      <c r="A220" s="424" t="str">
        <f>IF(TBL_ADD_04_Qs_All[[#This Row],[Type]]="Question", K221, IF(TBL_ADD_04_Qs_All[[#This Row],[Sub_No]]="N/A", "-", CONCATENATE(TBL_ADD_04_Qs_All[[#This Row],[Q_No]], TBL_ADD_04_Qs_All[[#This Row],[Sub_No]])))</f>
        <v>Q4.7.5</v>
      </c>
      <c r="B220" s="424" t="s">
        <v>152</v>
      </c>
      <c r="C22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0" s="426" t="str">
        <f>IF(OR(TBL_ADD_04_Qs_All[[#This Row],[Type]]="Overview", TBL_ADD_04_Qs_All[[#This Row],[Type]]="Sub-question", TBL_ADD_04_Qs_All[[#This Row],[Required?]]="No", TBL_ADD_04_Qs_All[[#This Row],[Section]]="IntSV", TBL_ADD_04_Qs_All[[#This Row],[Question / Sub-question]]="Not used"), "-", "")</f>
        <v>-</v>
      </c>
      <c r="E220" s="425" t="str">
        <f>IF(OR(TBL_ADD_04_Qs_All[[#This Row],[Type]]="Overview", TBL_ADD_04_Qs_All[[#This Row],[Type]]="Sub-question", TBL_ADD_04_Qs_All[[#This Row],[Required?]]="No", TBL_ADD_04_Qs_All[[#This Row],[Section]]="IntSV", TBL_ADD_04_Qs_All[[#This Row],[Question / Sub-question]]="Not used"), "-", "")</f>
        <v>-</v>
      </c>
      <c r="F220" s="427" t="str">
        <f>IF(OR(TBL_ADD_04_Qs_All[[#This Row],[Required?]]="No", TBL_ADD_04_Qs_All[[#This Row],[Section]]="IntSV", TBL_ADD_04_Qs_All[[#This Row],[Question / Sub-question]]="Not used"), "-", IF(TBL_ADD_04_Qs_All[[#This Row],[Type]]="Question", TBL_ADD_04_Qs_All[[#This Row],[No.subs]]*500, "-"))</f>
        <v>-</v>
      </c>
      <c r="G22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0" s="426" t="str">
        <f t="array" ref="I22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0" s="424" t="s">
        <v>332</v>
      </c>
      <c r="K220" s="426" t="s">
        <v>1319</v>
      </c>
      <c r="L220" s="428" t="s">
        <v>571</v>
      </c>
      <c r="M220" s="426" t="s">
        <v>479</v>
      </c>
      <c r="N22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1" spans="1:15">
      <c r="A221" s="424" t="str">
        <f>IF(TBL_ADD_04_Qs_All[[#This Row],[Type]]="Question", K222, IF(TBL_ADD_04_Qs_All[[#This Row],[Sub_No]]="N/A", "-", CONCATENATE(TBL_ADD_04_Qs_All[[#This Row],[Q_No]], TBL_ADD_04_Qs_All[[#This Row],[Sub_No]])))</f>
        <v>Q4.7.6</v>
      </c>
      <c r="B221" s="424" t="s">
        <v>152</v>
      </c>
      <c r="C22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1" s="426" t="str">
        <f>IF(OR(TBL_ADD_04_Qs_All[[#This Row],[Type]]="Overview", TBL_ADD_04_Qs_All[[#This Row],[Type]]="Sub-question", TBL_ADD_04_Qs_All[[#This Row],[Required?]]="No", TBL_ADD_04_Qs_All[[#This Row],[Section]]="IntSV", TBL_ADD_04_Qs_All[[#This Row],[Question / Sub-question]]="Not used"), "-", "")</f>
        <v>-</v>
      </c>
      <c r="E221" s="425" t="str">
        <f>IF(OR(TBL_ADD_04_Qs_All[[#This Row],[Type]]="Overview", TBL_ADD_04_Qs_All[[#This Row],[Type]]="Sub-question", TBL_ADD_04_Qs_All[[#This Row],[Required?]]="No", TBL_ADD_04_Qs_All[[#This Row],[Section]]="IntSV", TBL_ADD_04_Qs_All[[#This Row],[Question / Sub-question]]="Not used"), "-", "")</f>
        <v>-</v>
      </c>
      <c r="F221" s="427" t="str">
        <f>IF(OR(TBL_ADD_04_Qs_All[[#This Row],[Required?]]="No", TBL_ADD_04_Qs_All[[#This Row],[Section]]="IntSV", TBL_ADD_04_Qs_All[[#This Row],[Question / Sub-question]]="Not used"), "-", IF(TBL_ADD_04_Qs_All[[#This Row],[Type]]="Question", TBL_ADD_04_Qs_All[[#This Row],[No.subs]]*500, "-"))</f>
        <v>-</v>
      </c>
      <c r="G22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1" s="426" t="str">
        <f t="array" ref="I22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1" s="424" t="s">
        <v>332</v>
      </c>
      <c r="K221" s="426" t="s">
        <v>1319</v>
      </c>
      <c r="L221" s="428" t="s">
        <v>573</v>
      </c>
      <c r="M221" s="426" t="s">
        <v>479</v>
      </c>
      <c r="N22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2" spans="1:15">
      <c r="A222" s="424" t="str">
        <f>IF(TBL_ADD_04_Qs_All[[#This Row],[Type]]="Question", K223, IF(TBL_ADD_04_Qs_All[[#This Row],[Sub_No]]="N/A", "-", CONCATENATE(TBL_ADD_04_Qs_All[[#This Row],[Q_No]], TBL_ADD_04_Qs_All[[#This Row],[Sub_No]])))</f>
        <v>Q4.7.7</v>
      </c>
      <c r="B222" s="424" t="s">
        <v>152</v>
      </c>
      <c r="C22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2" s="426" t="str">
        <f>IF(OR(TBL_ADD_04_Qs_All[[#This Row],[Type]]="Overview", TBL_ADD_04_Qs_All[[#This Row],[Type]]="Sub-question", TBL_ADD_04_Qs_All[[#This Row],[Required?]]="No", TBL_ADD_04_Qs_All[[#This Row],[Section]]="IntSV", TBL_ADD_04_Qs_All[[#This Row],[Question / Sub-question]]="Not used"), "-", "")</f>
        <v>-</v>
      </c>
      <c r="E222" s="425" t="str">
        <f>IF(OR(TBL_ADD_04_Qs_All[[#This Row],[Type]]="Overview", TBL_ADD_04_Qs_All[[#This Row],[Type]]="Sub-question", TBL_ADD_04_Qs_All[[#This Row],[Required?]]="No", TBL_ADD_04_Qs_All[[#This Row],[Section]]="IntSV", TBL_ADD_04_Qs_All[[#This Row],[Question / Sub-question]]="Not used"), "-", "")</f>
        <v>-</v>
      </c>
      <c r="F222" s="427" t="str">
        <f>IF(OR(TBL_ADD_04_Qs_All[[#This Row],[Required?]]="No", TBL_ADD_04_Qs_All[[#This Row],[Section]]="IntSV", TBL_ADD_04_Qs_All[[#This Row],[Question / Sub-question]]="Not used"), "-", IF(TBL_ADD_04_Qs_All[[#This Row],[Type]]="Question", TBL_ADD_04_Qs_All[[#This Row],[No.subs]]*500, "-"))</f>
        <v>-</v>
      </c>
      <c r="G22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2" s="426" t="str">
        <f t="array" ref="I22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2" s="424" t="s">
        <v>332</v>
      </c>
      <c r="K222" s="426" t="s">
        <v>1319</v>
      </c>
      <c r="L222" s="428" t="s">
        <v>574</v>
      </c>
      <c r="M222" s="426" t="s">
        <v>479</v>
      </c>
      <c r="N22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3" spans="1:15">
      <c r="A223" s="424" t="str">
        <f>IF(TBL_ADD_04_Qs_All[[#This Row],[Type]]="Question", K224, IF(TBL_ADD_04_Qs_All[[#This Row],[Sub_No]]="N/A", "-", CONCATENATE(TBL_ADD_04_Qs_All[[#This Row],[Q_No]], TBL_ADD_04_Qs_All[[#This Row],[Sub_No]])))</f>
        <v>Q4.7.8</v>
      </c>
      <c r="B223" s="424" t="s">
        <v>152</v>
      </c>
      <c r="C22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3" s="426" t="str">
        <f>IF(OR(TBL_ADD_04_Qs_All[[#This Row],[Type]]="Overview", TBL_ADD_04_Qs_All[[#This Row],[Type]]="Sub-question", TBL_ADD_04_Qs_All[[#This Row],[Required?]]="No", TBL_ADD_04_Qs_All[[#This Row],[Section]]="IntSV", TBL_ADD_04_Qs_All[[#This Row],[Question / Sub-question]]="Not used"), "-", "")</f>
        <v>-</v>
      </c>
      <c r="E223" s="425" t="str">
        <f>IF(OR(TBL_ADD_04_Qs_All[[#This Row],[Type]]="Overview", TBL_ADD_04_Qs_All[[#This Row],[Type]]="Sub-question", TBL_ADD_04_Qs_All[[#This Row],[Required?]]="No", TBL_ADD_04_Qs_All[[#This Row],[Section]]="IntSV", TBL_ADD_04_Qs_All[[#This Row],[Question / Sub-question]]="Not used"), "-", "")</f>
        <v>-</v>
      </c>
      <c r="F223" s="427" t="str">
        <f>IF(OR(TBL_ADD_04_Qs_All[[#This Row],[Required?]]="No", TBL_ADD_04_Qs_All[[#This Row],[Section]]="IntSV", TBL_ADD_04_Qs_All[[#This Row],[Question / Sub-question]]="Not used"), "-", IF(TBL_ADD_04_Qs_All[[#This Row],[Type]]="Question", TBL_ADD_04_Qs_All[[#This Row],[No.subs]]*500, "-"))</f>
        <v>-</v>
      </c>
      <c r="G22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3" s="426" t="str">
        <f t="array" ref="I22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3" s="424" t="s">
        <v>332</v>
      </c>
      <c r="K223" s="426" t="s">
        <v>1319</v>
      </c>
      <c r="L223" s="428" t="s">
        <v>575</v>
      </c>
      <c r="M223" s="426" t="s">
        <v>479</v>
      </c>
      <c r="N22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4" spans="1:15">
      <c r="A224" s="424" t="str">
        <f>IF(TBL_ADD_04_Qs_All[[#This Row],[Type]]="Question", K225, IF(TBL_ADD_04_Qs_All[[#This Row],[Sub_No]]="N/A", "-", CONCATENATE(TBL_ADD_04_Qs_All[[#This Row],[Q_No]], TBL_ADD_04_Qs_All[[#This Row],[Sub_No]])))</f>
        <v>Q4.7.9</v>
      </c>
      <c r="B224" s="424" t="s">
        <v>152</v>
      </c>
      <c r="C22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4" s="426" t="str">
        <f>IF(OR(TBL_ADD_04_Qs_All[[#This Row],[Type]]="Overview", TBL_ADD_04_Qs_All[[#This Row],[Type]]="Sub-question", TBL_ADD_04_Qs_All[[#This Row],[Required?]]="No", TBL_ADD_04_Qs_All[[#This Row],[Section]]="IntSV", TBL_ADD_04_Qs_All[[#This Row],[Question / Sub-question]]="Not used"), "-", "")</f>
        <v>-</v>
      </c>
      <c r="E224" s="425" t="str">
        <f>IF(OR(TBL_ADD_04_Qs_All[[#This Row],[Type]]="Overview", TBL_ADD_04_Qs_All[[#This Row],[Type]]="Sub-question", TBL_ADD_04_Qs_All[[#This Row],[Required?]]="No", TBL_ADD_04_Qs_All[[#This Row],[Section]]="IntSV", TBL_ADD_04_Qs_All[[#This Row],[Question / Sub-question]]="Not used"), "-", "")</f>
        <v>-</v>
      </c>
      <c r="F224" s="427" t="str">
        <f>IF(OR(TBL_ADD_04_Qs_All[[#This Row],[Required?]]="No", TBL_ADD_04_Qs_All[[#This Row],[Section]]="IntSV", TBL_ADD_04_Qs_All[[#This Row],[Question / Sub-question]]="Not used"), "-", IF(TBL_ADD_04_Qs_All[[#This Row],[Type]]="Question", TBL_ADD_04_Qs_All[[#This Row],[No.subs]]*500, "-"))</f>
        <v>-</v>
      </c>
      <c r="G22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4" s="426" t="str">
        <f t="array" ref="I22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4" s="424" t="s">
        <v>332</v>
      </c>
      <c r="K224" s="426" t="s">
        <v>1319</v>
      </c>
      <c r="L224" s="428" t="s">
        <v>576</v>
      </c>
      <c r="M224" s="426" t="s">
        <v>479</v>
      </c>
      <c r="N22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5" spans="1:15">
      <c r="A225" s="424" t="str">
        <f>IF(TBL_ADD_04_Qs_All[[#This Row],[Type]]="Question", K226, IF(TBL_ADD_04_Qs_All[[#This Row],[Sub_No]]="N/A", "-", CONCATENATE(TBL_ADD_04_Qs_All[[#This Row],[Q_No]], TBL_ADD_04_Qs_All[[#This Row],[Sub_No]])))</f>
        <v>Q4.7.10</v>
      </c>
      <c r="B225" s="424" t="s">
        <v>152</v>
      </c>
      <c r="C22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5" s="426" t="str">
        <f>IF(OR(TBL_ADD_04_Qs_All[[#This Row],[Type]]="Overview", TBL_ADD_04_Qs_All[[#This Row],[Type]]="Sub-question", TBL_ADD_04_Qs_All[[#This Row],[Required?]]="No", TBL_ADD_04_Qs_All[[#This Row],[Section]]="IntSV", TBL_ADD_04_Qs_All[[#This Row],[Question / Sub-question]]="Not used"), "-", "")</f>
        <v>-</v>
      </c>
      <c r="E225" s="425" t="str">
        <f>IF(OR(TBL_ADD_04_Qs_All[[#This Row],[Type]]="Overview", TBL_ADD_04_Qs_All[[#This Row],[Type]]="Sub-question", TBL_ADD_04_Qs_All[[#This Row],[Required?]]="No", TBL_ADD_04_Qs_All[[#This Row],[Section]]="IntSV", TBL_ADD_04_Qs_All[[#This Row],[Question / Sub-question]]="Not used"), "-", "")</f>
        <v>-</v>
      </c>
      <c r="F225" s="427" t="str">
        <f>IF(OR(TBL_ADD_04_Qs_All[[#This Row],[Required?]]="No", TBL_ADD_04_Qs_All[[#This Row],[Section]]="IntSV", TBL_ADD_04_Qs_All[[#This Row],[Question / Sub-question]]="Not used"), "-", IF(TBL_ADD_04_Qs_All[[#This Row],[Type]]="Question", TBL_ADD_04_Qs_All[[#This Row],[No.subs]]*500, "-"))</f>
        <v>-</v>
      </c>
      <c r="G22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5" s="426" t="str">
        <f t="array" ref="I22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5" s="424" t="s">
        <v>332</v>
      </c>
      <c r="K225" s="426" t="s">
        <v>1319</v>
      </c>
      <c r="L225" s="428" t="s">
        <v>577</v>
      </c>
      <c r="M225" s="426" t="s">
        <v>479</v>
      </c>
      <c r="N22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6" spans="1:15" ht="13">
      <c r="A226" s="424" t="str">
        <f>IF(TBL_ADD_04_Qs_All[[#This Row],[Type]]="Question", K227, IF(TBL_ADD_04_Qs_All[[#This Row],[Sub_No]]="N/A", "-", CONCATENATE(TBL_ADD_04_Qs_All[[#This Row],[Q_No]], TBL_ADD_04_Qs_All[[#This Row],[Sub_No]])))</f>
        <v>Q4.8</v>
      </c>
      <c r="B226" s="424" t="s">
        <v>152</v>
      </c>
      <c r="C22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26" s="426" t="str">
        <f>IF(OR(TBL_ADD_04_Qs_All[[#This Row],[Type]]="Overview", TBL_ADD_04_Qs_All[[#This Row],[Type]]="Sub-question", TBL_ADD_04_Qs_All[[#This Row],[Required?]]="No", TBL_ADD_04_Qs_All[[#This Row],[Section]]="IntSV", TBL_ADD_04_Qs_All[[#This Row],[Question / Sub-question]]="Not used"), "-", "")</f>
        <v>-</v>
      </c>
      <c r="E226" s="425" t="str">
        <f>IF(OR(TBL_ADD_04_Qs_All[[#This Row],[Type]]="Overview", TBL_ADD_04_Qs_All[[#This Row],[Type]]="Sub-question", TBL_ADD_04_Qs_All[[#This Row],[Required?]]="No", TBL_ADD_04_Qs_All[[#This Row],[Section]]="IntSV", TBL_ADD_04_Qs_All[[#This Row],[Question / Sub-question]]="Not used"), "-", "")</f>
        <v>-</v>
      </c>
      <c r="F226" s="427" t="str">
        <f>IF(OR(TBL_ADD_04_Qs_All[[#This Row],[Required?]]="No", TBL_ADD_04_Qs_All[[#This Row],[Section]]="IntSV", TBL_ADD_04_Qs_All[[#This Row],[Question / Sub-question]]="Not used"), "-", IF(TBL_ADD_04_Qs_All[[#This Row],[Type]]="Question", TBL_ADD_04_Qs_All[[#This Row],[No.subs]]*500, "-"))</f>
        <v>-</v>
      </c>
      <c r="G22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226"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226" s="426">
        <f t="array" ref="I22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226" s="424" t="s">
        <v>146</v>
      </c>
      <c r="K226" s="426" t="s">
        <v>24</v>
      </c>
      <c r="L226" s="426" t="s">
        <v>24</v>
      </c>
      <c r="M226" s="426" t="s">
        <v>479</v>
      </c>
      <c r="N22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7" spans="1:15">
      <c r="A227" s="424" t="str">
        <f>IF(TBL_ADD_04_Qs_All[[#This Row],[Type]]="Question", K228, IF(TBL_ADD_04_Qs_All[[#This Row],[Sub_No]]="N/A", "-", CONCATENATE(TBL_ADD_04_Qs_All[[#This Row],[Q_No]], TBL_ADD_04_Qs_All[[#This Row],[Sub_No]])))</f>
        <v>Q4.8.1</v>
      </c>
      <c r="B227" s="424" t="s">
        <v>152</v>
      </c>
      <c r="C22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7" s="426" t="str">
        <f>IF(OR(TBL_ADD_04_Qs_All[[#This Row],[Type]]="Overview", TBL_ADD_04_Qs_All[[#This Row],[Type]]="Sub-question", TBL_ADD_04_Qs_All[[#This Row],[Required?]]="No", TBL_ADD_04_Qs_All[[#This Row],[Section]]="IntSV", TBL_ADD_04_Qs_All[[#This Row],[Question / Sub-question]]="Not used"), "-", "")</f>
        <v>-</v>
      </c>
      <c r="E227" s="425" t="str">
        <f>IF(OR(TBL_ADD_04_Qs_All[[#This Row],[Type]]="Overview", TBL_ADD_04_Qs_All[[#This Row],[Type]]="Sub-question", TBL_ADD_04_Qs_All[[#This Row],[Required?]]="No", TBL_ADD_04_Qs_All[[#This Row],[Section]]="IntSV", TBL_ADD_04_Qs_All[[#This Row],[Question / Sub-question]]="Not used"), "-", "")</f>
        <v>-</v>
      </c>
      <c r="F227" s="427" t="str">
        <f>IF(OR(TBL_ADD_04_Qs_All[[#This Row],[Required?]]="No", TBL_ADD_04_Qs_All[[#This Row],[Section]]="IntSV", TBL_ADD_04_Qs_All[[#This Row],[Question / Sub-question]]="Not used"), "-", IF(TBL_ADD_04_Qs_All[[#This Row],[Type]]="Question", TBL_ADD_04_Qs_All[[#This Row],[No.subs]]*500, "-"))</f>
        <v>-</v>
      </c>
      <c r="G22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7" s="426" t="str">
        <f t="array" ref="I22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7" s="424" t="s">
        <v>332</v>
      </c>
      <c r="K227" s="426" t="s">
        <v>1320</v>
      </c>
      <c r="L227" s="428" t="s">
        <v>568</v>
      </c>
      <c r="M227" s="426" t="s">
        <v>479</v>
      </c>
      <c r="N22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8" spans="1:15">
      <c r="A228" s="424" t="str">
        <f>IF(TBL_ADD_04_Qs_All[[#This Row],[Type]]="Question", K229, IF(TBL_ADD_04_Qs_All[[#This Row],[Sub_No]]="N/A", "-", CONCATENATE(TBL_ADD_04_Qs_All[[#This Row],[Q_No]], TBL_ADD_04_Qs_All[[#This Row],[Sub_No]])))</f>
        <v>Q4.8.2</v>
      </c>
      <c r="B228" s="424" t="s">
        <v>152</v>
      </c>
      <c r="C22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8" s="426" t="str">
        <f>IF(OR(TBL_ADD_04_Qs_All[[#This Row],[Type]]="Overview", TBL_ADD_04_Qs_All[[#This Row],[Type]]="Sub-question", TBL_ADD_04_Qs_All[[#This Row],[Required?]]="No", TBL_ADD_04_Qs_All[[#This Row],[Section]]="IntSV", TBL_ADD_04_Qs_All[[#This Row],[Question / Sub-question]]="Not used"), "-", "")</f>
        <v>-</v>
      </c>
      <c r="E228" s="425" t="str">
        <f>IF(OR(TBL_ADD_04_Qs_All[[#This Row],[Type]]="Overview", TBL_ADD_04_Qs_All[[#This Row],[Type]]="Sub-question", TBL_ADD_04_Qs_All[[#This Row],[Required?]]="No", TBL_ADD_04_Qs_All[[#This Row],[Section]]="IntSV", TBL_ADD_04_Qs_All[[#This Row],[Question / Sub-question]]="Not used"), "-", "")</f>
        <v>-</v>
      </c>
      <c r="F228" s="427" t="str">
        <f>IF(OR(TBL_ADD_04_Qs_All[[#This Row],[Required?]]="No", TBL_ADD_04_Qs_All[[#This Row],[Section]]="IntSV", TBL_ADD_04_Qs_All[[#This Row],[Question / Sub-question]]="Not used"), "-", IF(TBL_ADD_04_Qs_All[[#This Row],[Type]]="Question", TBL_ADD_04_Qs_All[[#This Row],[No.subs]]*500, "-"))</f>
        <v>-</v>
      </c>
      <c r="G22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8" s="426" t="str">
        <f t="array" ref="I22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8" s="424" t="s">
        <v>332</v>
      </c>
      <c r="K228" s="426" t="s">
        <v>1320</v>
      </c>
      <c r="L228" s="428" t="s">
        <v>572</v>
      </c>
      <c r="M228" s="426" t="s">
        <v>479</v>
      </c>
      <c r="N22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29" spans="1:15">
      <c r="A229" s="424" t="str">
        <f>IF(TBL_ADD_04_Qs_All[[#This Row],[Type]]="Question", K230, IF(TBL_ADD_04_Qs_All[[#This Row],[Sub_No]]="N/A", "-", CONCATENATE(TBL_ADD_04_Qs_All[[#This Row],[Q_No]], TBL_ADD_04_Qs_All[[#This Row],[Sub_No]])))</f>
        <v>Q4.8.3</v>
      </c>
      <c r="B229" s="424" t="s">
        <v>152</v>
      </c>
      <c r="C22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29" s="426" t="str">
        <f>IF(OR(TBL_ADD_04_Qs_All[[#This Row],[Type]]="Overview", TBL_ADD_04_Qs_All[[#This Row],[Type]]="Sub-question", TBL_ADD_04_Qs_All[[#This Row],[Required?]]="No", TBL_ADD_04_Qs_All[[#This Row],[Section]]="IntSV", TBL_ADD_04_Qs_All[[#This Row],[Question / Sub-question]]="Not used"), "-", "")</f>
        <v>-</v>
      </c>
      <c r="E229" s="425" t="str">
        <f>IF(OR(TBL_ADD_04_Qs_All[[#This Row],[Type]]="Overview", TBL_ADD_04_Qs_All[[#This Row],[Type]]="Sub-question", TBL_ADD_04_Qs_All[[#This Row],[Required?]]="No", TBL_ADD_04_Qs_All[[#This Row],[Section]]="IntSV", TBL_ADD_04_Qs_All[[#This Row],[Question / Sub-question]]="Not used"), "-", "")</f>
        <v>-</v>
      </c>
      <c r="F229" s="427" t="str">
        <f>IF(OR(TBL_ADD_04_Qs_All[[#This Row],[Required?]]="No", TBL_ADD_04_Qs_All[[#This Row],[Section]]="IntSV", TBL_ADD_04_Qs_All[[#This Row],[Question / Sub-question]]="Not used"), "-", IF(TBL_ADD_04_Qs_All[[#This Row],[Type]]="Question", TBL_ADD_04_Qs_All[[#This Row],[No.subs]]*500, "-"))</f>
        <v>-</v>
      </c>
      <c r="G22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2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29" s="426" t="str">
        <f t="array" ref="I22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29" s="424" t="s">
        <v>332</v>
      </c>
      <c r="K229" s="426" t="s">
        <v>1320</v>
      </c>
      <c r="L229" s="428" t="s">
        <v>569</v>
      </c>
      <c r="M229" s="426" t="s">
        <v>479</v>
      </c>
      <c r="N22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2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0" spans="1:15">
      <c r="A230" s="424" t="str">
        <f>IF(TBL_ADD_04_Qs_All[[#This Row],[Type]]="Question", K231, IF(TBL_ADD_04_Qs_All[[#This Row],[Sub_No]]="N/A", "-", CONCATENATE(TBL_ADD_04_Qs_All[[#This Row],[Q_No]], TBL_ADD_04_Qs_All[[#This Row],[Sub_No]])))</f>
        <v>Q4.8.4</v>
      </c>
      <c r="B230" s="424" t="s">
        <v>152</v>
      </c>
      <c r="C23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0" s="426" t="str">
        <f>IF(OR(TBL_ADD_04_Qs_All[[#This Row],[Type]]="Overview", TBL_ADD_04_Qs_All[[#This Row],[Type]]="Sub-question", TBL_ADD_04_Qs_All[[#This Row],[Required?]]="No", TBL_ADD_04_Qs_All[[#This Row],[Section]]="IntSV", TBL_ADD_04_Qs_All[[#This Row],[Question / Sub-question]]="Not used"), "-", "")</f>
        <v>-</v>
      </c>
      <c r="E230" s="425" t="str">
        <f>IF(OR(TBL_ADD_04_Qs_All[[#This Row],[Type]]="Overview", TBL_ADD_04_Qs_All[[#This Row],[Type]]="Sub-question", TBL_ADD_04_Qs_All[[#This Row],[Required?]]="No", TBL_ADD_04_Qs_All[[#This Row],[Section]]="IntSV", TBL_ADD_04_Qs_All[[#This Row],[Question / Sub-question]]="Not used"), "-", "")</f>
        <v>-</v>
      </c>
      <c r="F230" s="427" t="str">
        <f>IF(OR(TBL_ADD_04_Qs_All[[#This Row],[Required?]]="No", TBL_ADD_04_Qs_All[[#This Row],[Section]]="IntSV", TBL_ADD_04_Qs_All[[#This Row],[Question / Sub-question]]="Not used"), "-", IF(TBL_ADD_04_Qs_All[[#This Row],[Type]]="Question", TBL_ADD_04_Qs_All[[#This Row],[No.subs]]*500, "-"))</f>
        <v>-</v>
      </c>
      <c r="G23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0" s="426" t="str">
        <f t="array" ref="I23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0" s="424" t="s">
        <v>332</v>
      </c>
      <c r="K230" s="426" t="s">
        <v>1320</v>
      </c>
      <c r="L230" s="428" t="s">
        <v>570</v>
      </c>
      <c r="M230" s="426" t="s">
        <v>479</v>
      </c>
      <c r="N23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1" spans="1:15">
      <c r="A231" s="424" t="str">
        <f>IF(TBL_ADD_04_Qs_All[[#This Row],[Type]]="Question", K232, IF(TBL_ADD_04_Qs_All[[#This Row],[Sub_No]]="N/A", "-", CONCATENATE(TBL_ADD_04_Qs_All[[#This Row],[Q_No]], TBL_ADD_04_Qs_All[[#This Row],[Sub_No]])))</f>
        <v>Q4.8.5</v>
      </c>
      <c r="B231" s="424" t="s">
        <v>152</v>
      </c>
      <c r="C23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1" s="426" t="str">
        <f>IF(OR(TBL_ADD_04_Qs_All[[#This Row],[Type]]="Overview", TBL_ADD_04_Qs_All[[#This Row],[Type]]="Sub-question", TBL_ADD_04_Qs_All[[#This Row],[Required?]]="No", TBL_ADD_04_Qs_All[[#This Row],[Section]]="IntSV", TBL_ADD_04_Qs_All[[#This Row],[Question / Sub-question]]="Not used"), "-", "")</f>
        <v>-</v>
      </c>
      <c r="E231" s="425" t="str">
        <f>IF(OR(TBL_ADD_04_Qs_All[[#This Row],[Type]]="Overview", TBL_ADD_04_Qs_All[[#This Row],[Type]]="Sub-question", TBL_ADD_04_Qs_All[[#This Row],[Required?]]="No", TBL_ADD_04_Qs_All[[#This Row],[Section]]="IntSV", TBL_ADD_04_Qs_All[[#This Row],[Question / Sub-question]]="Not used"), "-", "")</f>
        <v>-</v>
      </c>
      <c r="F231" s="427" t="str">
        <f>IF(OR(TBL_ADD_04_Qs_All[[#This Row],[Required?]]="No", TBL_ADD_04_Qs_All[[#This Row],[Section]]="IntSV", TBL_ADD_04_Qs_All[[#This Row],[Question / Sub-question]]="Not used"), "-", IF(TBL_ADD_04_Qs_All[[#This Row],[Type]]="Question", TBL_ADD_04_Qs_All[[#This Row],[No.subs]]*500, "-"))</f>
        <v>-</v>
      </c>
      <c r="G23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1" s="426" t="str">
        <f t="array" ref="I23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1" s="424" t="s">
        <v>332</v>
      </c>
      <c r="K231" s="426" t="s">
        <v>1320</v>
      </c>
      <c r="L231" s="428" t="s">
        <v>571</v>
      </c>
      <c r="M231" s="426" t="s">
        <v>479</v>
      </c>
      <c r="N23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2" spans="1:15">
      <c r="A232" s="424" t="str">
        <f>IF(TBL_ADD_04_Qs_All[[#This Row],[Type]]="Question", K233, IF(TBL_ADD_04_Qs_All[[#This Row],[Sub_No]]="N/A", "-", CONCATENATE(TBL_ADD_04_Qs_All[[#This Row],[Q_No]], TBL_ADD_04_Qs_All[[#This Row],[Sub_No]])))</f>
        <v>Q4.8.6</v>
      </c>
      <c r="B232" s="424" t="s">
        <v>152</v>
      </c>
      <c r="C23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2" s="426" t="str">
        <f>IF(OR(TBL_ADD_04_Qs_All[[#This Row],[Type]]="Overview", TBL_ADD_04_Qs_All[[#This Row],[Type]]="Sub-question", TBL_ADD_04_Qs_All[[#This Row],[Required?]]="No", TBL_ADD_04_Qs_All[[#This Row],[Section]]="IntSV", TBL_ADD_04_Qs_All[[#This Row],[Question / Sub-question]]="Not used"), "-", "")</f>
        <v>-</v>
      </c>
      <c r="E232" s="425" t="str">
        <f>IF(OR(TBL_ADD_04_Qs_All[[#This Row],[Type]]="Overview", TBL_ADD_04_Qs_All[[#This Row],[Type]]="Sub-question", TBL_ADD_04_Qs_All[[#This Row],[Required?]]="No", TBL_ADD_04_Qs_All[[#This Row],[Section]]="IntSV", TBL_ADD_04_Qs_All[[#This Row],[Question / Sub-question]]="Not used"), "-", "")</f>
        <v>-</v>
      </c>
      <c r="F232" s="427" t="str">
        <f>IF(OR(TBL_ADD_04_Qs_All[[#This Row],[Required?]]="No", TBL_ADD_04_Qs_All[[#This Row],[Section]]="IntSV", TBL_ADD_04_Qs_All[[#This Row],[Question / Sub-question]]="Not used"), "-", IF(TBL_ADD_04_Qs_All[[#This Row],[Type]]="Question", TBL_ADD_04_Qs_All[[#This Row],[No.subs]]*500, "-"))</f>
        <v>-</v>
      </c>
      <c r="G23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2" s="426" t="str">
        <f t="array" ref="I23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2" s="424" t="s">
        <v>332</v>
      </c>
      <c r="K232" s="426" t="s">
        <v>1320</v>
      </c>
      <c r="L232" s="428" t="s">
        <v>573</v>
      </c>
      <c r="M232" s="426" t="s">
        <v>479</v>
      </c>
      <c r="N23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3" spans="1:15">
      <c r="A233" s="424" t="str">
        <f>IF(TBL_ADD_04_Qs_All[[#This Row],[Type]]="Question", K234, IF(TBL_ADD_04_Qs_All[[#This Row],[Sub_No]]="N/A", "-", CONCATENATE(TBL_ADD_04_Qs_All[[#This Row],[Q_No]], TBL_ADD_04_Qs_All[[#This Row],[Sub_No]])))</f>
        <v>Q4.8.7</v>
      </c>
      <c r="B233" s="424" t="s">
        <v>152</v>
      </c>
      <c r="C23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3" s="426" t="str">
        <f>IF(OR(TBL_ADD_04_Qs_All[[#This Row],[Type]]="Overview", TBL_ADD_04_Qs_All[[#This Row],[Type]]="Sub-question", TBL_ADD_04_Qs_All[[#This Row],[Required?]]="No", TBL_ADD_04_Qs_All[[#This Row],[Section]]="IntSV", TBL_ADD_04_Qs_All[[#This Row],[Question / Sub-question]]="Not used"), "-", "")</f>
        <v>-</v>
      </c>
      <c r="E233" s="425" t="str">
        <f>IF(OR(TBL_ADD_04_Qs_All[[#This Row],[Type]]="Overview", TBL_ADD_04_Qs_All[[#This Row],[Type]]="Sub-question", TBL_ADD_04_Qs_All[[#This Row],[Required?]]="No", TBL_ADD_04_Qs_All[[#This Row],[Section]]="IntSV", TBL_ADD_04_Qs_All[[#This Row],[Question / Sub-question]]="Not used"), "-", "")</f>
        <v>-</v>
      </c>
      <c r="F233" s="427" t="str">
        <f>IF(OR(TBL_ADD_04_Qs_All[[#This Row],[Required?]]="No", TBL_ADD_04_Qs_All[[#This Row],[Section]]="IntSV", TBL_ADD_04_Qs_All[[#This Row],[Question / Sub-question]]="Not used"), "-", IF(TBL_ADD_04_Qs_All[[#This Row],[Type]]="Question", TBL_ADD_04_Qs_All[[#This Row],[No.subs]]*500, "-"))</f>
        <v>-</v>
      </c>
      <c r="G23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3" s="426" t="str">
        <f t="array" ref="I23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3" s="424" t="s">
        <v>332</v>
      </c>
      <c r="K233" s="426" t="s">
        <v>1320</v>
      </c>
      <c r="L233" s="428" t="s">
        <v>574</v>
      </c>
      <c r="M233" s="426" t="s">
        <v>479</v>
      </c>
      <c r="N23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4" spans="1:15">
      <c r="A234" s="424" t="str">
        <f>IF(TBL_ADD_04_Qs_All[[#This Row],[Type]]="Question", K235, IF(TBL_ADD_04_Qs_All[[#This Row],[Sub_No]]="N/A", "-", CONCATENATE(TBL_ADD_04_Qs_All[[#This Row],[Q_No]], TBL_ADD_04_Qs_All[[#This Row],[Sub_No]])))</f>
        <v>Q4.8.8</v>
      </c>
      <c r="B234" s="424" t="s">
        <v>152</v>
      </c>
      <c r="C23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4" s="426" t="str">
        <f>IF(OR(TBL_ADD_04_Qs_All[[#This Row],[Type]]="Overview", TBL_ADD_04_Qs_All[[#This Row],[Type]]="Sub-question", TBL_ADD_04_Qs_All[[#This Row],[Required?]]="No", TBL_ADD_04_Qs_All[[#This Row],[Section]]="IntSV", TBL_ADD_04_Qs_All[[#This Row],[Question / Sub-question]]="Not used"), "-", "")</f>
        <v>-</v>
      </c>
      <c r="E234" s="425" t="str">
        <f>IF(OR(TBL_ADD_04_Qs_All[[#This Row],[Type]]="Overview", TBL_ADD_04_Qs_All[[#This Row],[Type]]="Sub-question", TBL_ADD_04_Qs_All[[#This Row],[Required?]]="No", TBL_ADD_04_Qs_All[[#This Row],[Section]]="IntSV", TBL_ADD_04_Qs_All[[#This Row],[Question / Sub-question]]="Not used"), "-", "")</f>
        <v>-</v>
      </c>
      <c r="F234" s="427" t="str">
        <f>IF(OR(TBL_ADD_04_Qs_All[[#This Row],[Required?]]="No", TBL_ADD_04_Qs_All[[#This Row],[Section]]="IntSV", TBL_ADD_04_Qs_All[[#This Row],[Question / Sub-question]]="Not used"), "-", IF(TBL_ADD_04_Qs_All[[#This Row],[Type]]="Question", TBL_ADD_04_Qs_All[[#This Row],[No.subs]]*500, "-"))</f>
        <v>-</v>
      </c>
      <c r="G23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4" s="426" t="str">
        <f t="array" ref="I23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4" s="424" t="s">
        <v>332</v>
      </c>
      <c r="K234" s="426" t="s">
        <v>1320</v>
      </c>
      <c r="L234" s="428" t="s">
        <v>575</v>
      </c>
      <c r="M234" s="426" t="s">
        <v>479</v>
      </c>
      <c r="N23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5" spans="1:15">
      <c r="A235" s="424" t="str">
        <f>IF(TBL_ADD_04_Qs_All[[#This Row],[Type]]="Question", K236, IF(TBL_ADD_04_Qs_All[[#This Row],[Sub_No]]="N/A", "-", CONCATENATE(TBL_ADD_04_Qs_All[[#This Row],[Q_No]], TBL_ADD_04_Qs_All[[#This Row],[Sub_No]])))</f>
        <v>Q4.8.9</v>
      </c>
      <c r="B235" s="424" t="s">
        <v>152</v>
      </c>
      <c r="C23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5" s="426" t="str">
        <f>IF(OR(TBL_ADD_04_Qs_All[[#This Row],[Type]]="Overview", TBL_ADD_04_Qs_All[[#This Row],[Type]]="Sub-question", TBL_ADD_04_Qs_All[[#This Row],[Required?]]="No", TBL_ADD_04_Qs_All[[#This Row],[Section]]="IntSV", TBL_ADD_04_Qs_All[[#This Row],[Question / Sub-question]]="Not used"), "-", "")</f>
        <v>-</v>
      </c>
      <c r="E235" s="425" t="str">
        <f>IF(OR(TBL_ADD_04_Qs_All[[#This Row],[Type]]="Overview", TBL_ADD_04_Qs_All[[#This Row],[Type]]="Sub-question", TBL_ADD_04_Qs_All[[#This Row],[Required?]]="No", TBL_ADD_04_Qs_All[[#This Row],[Section]]="IntSV", TBL_ADD_04_Qs_All[[#This Row],[Question / Sub-question]]="Not used"), "-", "")</f>
        <v>-</v>
      </c>
      <c r="F235" s="427" t="str">
        <f>IF(OR(TBL_ADD_04_Qs_All[[#This Row],[Required?]]="No", TBL_ADD_04_Qs_All[[#This Row],[Section]]="IntSV", TBL_ADD_04_Qs_All[[#This Row],[Question / Sub-question]]="Not used"), "-", IF(TBL_ADD_04_Qs_All[[#This Row],[Type]]="Question", TBL_ADD_04_Qs_All[[#This Row],[No.subs]]*500, "-"))</f>
        <v>-</v>
      </c>
      <c r="G23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5" s="426" t="str">
        <f t="array" ref="I23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5" s="424" t="s">
        <v>332</v>
      </c>
      <c r="K235" s="426" t="s">
        <v>1320</v>
      </c>
      <c r="L235" s="428" t="s">
        <v>576</v>
      </c>
      <c r="M235" s="426" t="s">
        <v>479</v>
      </c>
      <c r="N23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6" spans="1:15">
      <c r="A236" s="424" t="str">
        <f>IF(TBL_ADD_04_Qs_All[[#This Row],[Type]]="Question", K237, IF(TBL_ADD_04_Qs_All[[#This Row],[Sub_No]]="N/A", "-", CONCATENATE(TBL_ADD_04_Qs_All[[#This Row],[Q_No]], TBL_ADD_04_Qs_All[[#This Row],[Sub_No]])))</f>
        <v>Q4.8.10</v>
      </c>
      <c r="B236" s="424" t="s">
        <v>152</v>
      </c>
      <c r="C23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6" s="426" t="str">
        <f>IF(OR(TBL_ADD_04_Qs_All[[#This Row],[Type]]="Overview", TBL_ADD_04_Qs_All[[#This Row],[Type]]="Sub-question", TBL_ADD_04_Qs_All[[#This Row],[Required?]]="No", TBL_ADD_04_Qs_All[[#This Row],[Section]]="IntSV", TBL_ADD_04_Qs_All[[#This Row],[Question / Sub-question]]="Not used"), "-", "")</f>
        <v>-</v>
      </c>
      <c r="E236" s="425" t="str">
        <f>IF(OR(TBL_ADD_04_Qs_All[[#This Row],[Type]]="Overview", TBL_ADD_04_Qs_All[[#This Row],[Type]]="Sub-question", TBL_ADD_04_Qs_All[[#This Row],[Required?]]="No", TBL_ADD_04_Qs_All[[#This Row],[Section]]="IntSV", TBL_ADD_04_Qs_All[[#This Row],[Question / Sub-question]]="Not used"), "-", "")</f>
        <v>-</v>
      </c>
      <c r="F236" s="427" t="str">
        <f>IF(OR(TBL_ADD_04_Qs_All[[#This Row],[Required?]]="No", TBL_ADD_04_Qs_All[[#This Row],[Section]]="IntSV", TBL_ADD_04_Qs_All[[#This Row],[Question / Sub-question]]="Not used"), "-", IF(TBL_ADD_04_Qs_All[[#This Row],[Type]]="Question", TBL_ADD_04_Qs_All[[#This Row],[No.subs]]*500, "-"))</f>
        <v>-</v>
      </c>
      <c r="G23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6" s="426" t="str">
        <f t="array" ref="I23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6" s="424" t="s">
        <v>332</v>
      </c>
      <c r="K236" s="426" t="s">
        <v>1320</v>
      </c>
      <c r="L236" s="428" t="s">
        <v>577</v>
      </c>
      <c r="M236" s="426" t="s">
        <v>479</v>
      </c>
      <c r="N23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7" spans="1:15" ht="13">
      <c r="A237" s="424" t="str">
        <f>IF(TBL_ADD_04_Qs_All[[#This Row],[Type]]="Question", K238, IF(TBL_ADD_04_Qs_All[[#This Row],[Sub_No]]="N/A", "-", CONCATENATE(TBL_ADD_04_Qs_All[[#This Row],[Q_No]], TBL_ADD_04_Qs_All[[#This Row],[Sub_No]])))</f>
        <v>Q4.9</v>
      </c>
      <c r="B237" s="424" t="s">
        <v>152</v>
      </c>
      <c r="C23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37" s="426" t="str">
        <f>IF(OR(TBL_ADD_04_Qs_All[[#This Row],[Type]]="Overview", TBL_ADD_04_Qs_All[[#This Row],[Type]]="Sub-question", TBL_ADD_04_Qs_All[[#This Row],[Required?]]="No", TBL_ADD_04_Qs_All[[#This Row],[Section]]="IntSV", TBL_ADD_04_Qs_All[[#This Row],[Question / Sub-question]]="Not used"), "-", "")</f>
        <v>-</v>
      </c>
      <c r="E237" s="425" t="str">
        <f>IF(OR(TBL_ADD_04_Qs_All[[#This Row],[Type]]="Overview", TBL_ADD_04_Qs_All[[#This Row],[Type]]="Sub-question", TBL_ADD_04_Qs_All[[#This Row],[Required?]]="No", TBL_ADD_04_Qs_All[[#This Row],[Section]]="IntSV", TBL_ADD_04_Qs_All[[#This Row],[Question / Sub-question]]="Not used"), "-", "")</f>
        <v>-</v>
      </c>
      <c r="F237" s="427" t="str">
        <f>IF(OR(TBL_ADD_04_Qs_All[[#This Row],[Required?]]="No", TBL_ADD_04_Qs_All[[#This Row],[Section]]="IntSV", TBL_ADD_04_Qs_All[[#This Row],[Question / Sub-question]]="Not used"), "-", IF(TBL_ADD_04_Qs_All[[#This Row],[Type]]="Question", TBL_ADD_04_Qs_All[[#This Row],[No.subs]]*500, "-"))</f>
        <v>-</v>
      </c>
      <c r="G23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237"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237" s="426">
        <f t="array" ref="I23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237" s="424" t="s">
        <v>146</v>
      </c>
      <c r="K237" s="426" t="s">
        <v>24</v>
      </c>
      <c r="L237" s="426" t="s">
        <v>24</v>
      </c>
      <c r="M237" s="426" t="s">
        <v>479</v>
      </c>
      <c r="N23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8" spans="1:15">
      <c r="A238" s="424" t="str">
        <f>IF(TBL_ADD_04_Qs_All[[#This Row],[Type]]="Question", K239, IF(TBL_ADD_04_Qs_All[[#This Row],[Sub_No]]="N/A", "-", CONCATENATE(TBL_ADD_04_Qs_All[[#This Row],[Q_No]], TBL_ADD_04_Qs_All[[#This Row],[Sub_No]])))</f>
        <v>Q4.9.1</v>
      </c>
      <c r="B238" s="424" t="s">
        <v>152</v>
      </c>
      <c r="C23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8" s="426" t="str">
        <f>IF(OR(TBL_ADD_04_Qs_All[[#This Row],[Type]]="Overview", TBL_ADD_04_Qs_All[[#This Row],[Type]]="Sub-question", TBL_ADD_04_Qs_All[[#This Row],[Required?]]="No", TBL_ADD_04_Qs_All[[#This Row],[Section]]="IntSV", TBL_ADD_04_Qs_All[[#This Row],[Question / Sub-question]]="Not used"), "-", "")</f>
        <v>-</v>
      </c>
      <c r="E238" s="425" t="str">
        <f>IF(OR(TBL_ADD_04_Qs_All[[#This Row],[Type]]="Overview", TBL_ADD_04_Qs_All[[#This Row],[Type]]="Sub-question", TBL_ADD_04_Qs_All[[#This Row],[Required?]]="No", TBL_ADD_04_Qs_All[[#This Row],[Section]]="IntSV", TBL_ADD_04_Qs_All[[#This Row],[Question / Sub-question]]="Not used"), "-", "")</f>
        <v>-</v>
      </c>
      <c r="F238" s="427" t="str">
        <f>IF(OR(TBL_ADD_04_Qs_All[[#This Row],[Required?]]="No", TBL_ADD_04_Qs_All[[#This Row],[Section]]="IntSV", TBL_ADD_04_Qs_All[[#This Row],[Question / Sub-question]]="Not used"), "-", IF(TBL_ADD_04_Qs_All[[#This Row],[Type]]="Question", TBL_ADD_04_Qs_All[[#This Row],[No.subs]]*500, "-"))</f>
        <v>-</v>
      </c>
      <c r="G23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8" s="426" t="str">
        <f t="array" ref="I23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8" s="424" t="s">
        <v>332</v>
      </c>
      <c r="K238" s="426" t="s">
        <v>1321</v>
      </c>
      <c r="L238" s="428" t="s">
        <v>568</v>
      </c>
      <c r="M238" s="426" t="s">
        <v>479</v>
      </c>
      <c r="N23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39" spans="1:15">
      <c r="A239" s="424" t="str">
        <f>IF(TBL_ADD_04_Qs_All[[#This Row],[Type]]="Question", K240, IF(TBL_ADD_04_Qs_All[[#This Row],[Sub_No]]="N/A", "-", CONCATENATE(TBL_ADD_04_Qs_All[[#This Row],[Q_No]], TBL_ADD_04_Qs_All[[#This Row],[Sub_No]])))</f>
        <v>Q4.9.2</v>
      </c>
      <c r="B239" s="424" t="s">
        <v>152</v>
      </c>
      <c r="C23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39" s="426" t="str">
        <f>IF(OR(TBL_ADD_04_Qs_All[[#This Row],[Type]]="Overview", TBL_ADD_04_Qs_All[[#This Row],[Type]]="Sub-question", TBL_ADD_04_Qs_All[[#This Row],[Required?]]="No", TBL_ADD_04_Qs_All[[#This Row],[Section]]="IntSV", TBL_ADD_04_Qs_All[[#This Row],[Question / Sub-question]]="Not used"), "-", "")</f>
        <v>-</v>
      </c>
      <c r="E239" s="425" t="str">
        <f>IF(OR(TBL_ADD_04_Qs_All[[#This Row],[Type]]="Overview", TBL_ADD_04_Qs_All[[#This Row],[Type]]="Sub-question", TBL_ADD_04_Qs_All[[#This Row],[Required?]]="No", TBL_ADD_04_Qs_All[[#This Row],[Section]]="IntSV", TBL_ADD_04_Qs_All[[#This Row],[Question / Sub-question]]="Not used"), "-", "")</f>
        <v>-</v>
      </c>
      <c r="F239" s="427" t="str">
        <f>IF(OR(TBL_ADD_04_Qs_All[[#This Row],[Required?]]="No", TBL_ADD_04_Qs_All[[#This Row],[Section]]="IntSV", TBL_ADD_04_Qs_All[[#This Row],[Question / Sub-question]]="Not used"), "-", IF(TBL_ADD_04_Qs_All[[#This Row],[Type]]="Question", TBL_ADD_04_Qs_All[[#This Row],[No.subs]]*500, "-"))</f>
        <v>-</v>
      </c>
      <c r="G23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3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39" s="426" t="str">
        <f t="array" ref="I23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39" s="424" t="s">
        <v>332</v>
      </c>
      <c r="K239" s="426" t="s">
        <v>1321</v>
      </c>
      <c r="L239" s="428" t="s">
        <v>572</v>
      </c>
      <c r="M239" s="426" t="s">
        <v>479</v>
      </c>
      <c r="N23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3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0" spans="1:15">
      <c r="A240" s="424" t="str">
        <f>IF(TBL_ADD_04_Qs_All[[#This Row],[Type]]="Question", K241, IF(TBL_ADD_04_Qs_All[[#This Row],[Sub_No]]="N/A", "-", CONCATENATE(TBL_ADD_04_Qs_All[[#This Row],[Q_No]], TBL_ADD_04_Qs_All[[#This Row],[Sub_No]])))</f>
        <v>Q4.9.3</v>
      </c>
      <c r="B240" s="424" t="s">
        <v>152</v>
      </c>
      <c r="C24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0" s="426" t="str">
        <f>IF(OR(TBL_ADD_04_Qs_All[[#This Row],[Type]]="Overview", TBL_ADD_04_Qs_All[[#This Row],[Type]]="Sub-question", TBL_ADD_04_Qs_All[[#This Row],[Required?]]="No", TBL_ADD_04_Qs_All[[#This Row],[Section]]="IntSV", TBL_ADD_04_Qs_All[[#This Row],[Question / Sub-question]]="Not used"), "-", "")</f>
        <v>-</v>
      </c>
      <c r="E240" s="425" t="str">
        <f>IF(OR(TBL_ADD_04_Qs_All[[#This Row],[Type]]="Overview", TBL_ADD_04_Qs_All[[#This Row],[Type]]="Sub-question", TBL_ADD_04_Qs_All[[#This Row],[Required?]]="No", TBL_ADD_04_Qs_All[[#This Row],[Section]]="IntSV", TBL_ADD_04_Qs_All[[#This Row],[Question / Sub-question]]="Not used"), "-", "")</f>
        <v>-</v>
      </c>
      <c r="F240" s="427" t="str">
        <f>IF(OR(TBL_ADD_04_Qs_All[[#This Row],[Required?]]="No", TBL_ADD_04_Qs_All[[#This Row],[Section]]="IntSV", TBL_ADD_04_Qs_All[[#This Row],[Question / Sub-question]]="Not used"), "-", IF(TBL_ADD_04_Qs_All[[#This Row],[Type]]="Question", TBL_ADD_04_Qs_All[[#This Row],[No.subs]]*500, "-"))</f>
        <v>-</v>
      </c>
      <c r="G24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0" s="426" t="str">
        <f t="array" ref="I24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0" s="424" t="s">
        <v>332</v>
      </c>
      <c r="K240" s="426" t="s">
        <v>1321</v>
      </c>
      <c r="L240" s="428" t="s">
        <v>569</v>
      </c>
      <c r="M240" s="426" t="s">
        <v>479</v>
      </c>
      <c r="N24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1" spans="1:15">
      <c r="A241" s="424" t="str">
        <f>IF(TBL_ADD_04_Qs_All[[#This Row],[Type]]="Question", K242, IF(TBL_ADD_04_Qs_All[[#This Row],[Sub_No]]="N/A", "-", CONCATENATE(TBL_ADD_04_Qs_All[[#This Row],[Q_No]], TBL_ADD_04_Qs_All[[#This Row],[Sub_No]])))</f>
        <v>Q4.9.4</v>
      </c>
      <c r="B241" s="424" t="s">
        <v>152</v>
      </c>
      <c r="C24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1" s="426" t="str">
        <f>IF(OR(TBL_ADD_04_Qs_All[[#This Row],[Type]]="Overview", TBL_ADD_04_Qs_All[[#This Row],[Type]]="Sub-question", TBL_ADD_04_Qs_All[[#This Row],[Required?]]="No", TBL_ADD_04_Qs_All[[#This Row],[Section]]="IntSV", TBL_ADD_04_Qs_All[[#This Row],[Question / Sub-question]]="Not used"), "-", "")</f>
        <v>-</v>
      </c>
      <c r="E241" s="425" t="str">
        <f>IF(OR(TBL_ADD_04_Qs_All[[#This Row],[Type]]="Overview", TBL_ADD_04_Qs_All[[#This Row],[Type]]="Sub-question", TBL_ADD_04_Qs_All[[#This Row],[Required?]]="No", TBL_ADD_04_Qs_All[[#This Row],[Section]]="IntSV", TBL_ADD_04_Qs_All[[#This Row],[Question / Sub-question]]="Not used"), "-", "")</f>
        <v>-</v>
      </c>
      <c r="F241" s="427" t="str">
        <f>IF(OR(TBL_ADD_04_Qs_All[[#This Row],[Required?]]="No", TBL_ADD_04_Qs_All[[#This Row],[Section]]="IntSV", TBL_ADD_04_Qs_All[[#This Row],[Question / Sub-question]]="Not used"), "-", IF(TBL_ADD_04_Qs_All[[#This Row],[Type]]="Question", TBL_ADD_04_Qs_All[[#This Row],[No.subs]]*500, "-"))</f>
        <v>-</v>
      </c>
      <c r="G24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1" s="426" t="str">
        <f t="array" ref="I24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1" s="424" t="s">
        <v>332</v>
      </c>
      <c r="K241" s="426" t="s">
        <v>1321</v>
      </c>
      <c r="L241" s="428" t="s">
        <v>570</v>
      </c>
      <c r="M241" s="426" t="s">
        <v>479</v>
      </c>
      <c r="N24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2" spans="1:15">
      <c r="A242" s="424" t="str">
        <f>IF(TBL_ADD_04_Qs_All[[#This Row],[Type]]="Question", K243, IF(TBL_ADD_04_Qs_All[[#This Row],[Sub_No]]="N/A", "-", CONCATENATE(TBL_ADD_04_Qs_All[[#This Row],[Q_No]], TBL_ADD_04_Qs_All[[#This Row],[Sub_No]])))</f>
        <v>Q4.9.5</v>
      </c>
      <c r="B242" s="424" t="s">
        <v>152</v>
      </c>
      <c r="C24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2" s="426" t="str">
        <f>IF(OR(TBL_ADD_04_Qs_All[[#This Row],[Type]]="Overview", TBL_ADD_04_Qs_All[[#This Row],[Type]]="Sub-question", TBL_ADD_04_Qs_All[[#This Row],[Required?]]="No", TBL_ADD_04_Qs_All[[#This Row],[Section]]="IntSV", TBL_ADD_04_Qs_All[[#This Row],[Question / Sub-question]]="Not used"), "-", "")</f>
        <v>-</v>
      </c>
      <c r="E242" s="425" t="str">
        <f>IF(OR(TBL_ADD_04_Qs_All[[#This Row],[Type]]="Overview", TBL_ADD_04_Qs_All[[#This Row],[Type]]="Sub-question", TBL_ADD_04_Qs_All[[#This Row],[Required?]]="No", TBL_ADD_04_Qs_All[[#This Row],[Section]]="IntSV", TBL_ADD_04_Qs_All[[#This Row],[Question / Sub-question]]="Not used"), "-", "")</f>
        <v>-</v>
      </c>
      <c r="F242" s="427" t="str">
        <f>IF(OR(TBL_ADD_04_Qs_All[[#This Row],[Required?]]="No", TBL_ADD_04_Qs_All[[#This Row],[Section]]="IntSV", TBL_ADD_04_Qs_All[[#This Row],[Question / Sub-question]]="Not used"), "-", IF(TBL_ADD_04_Qs_All[[#This Row],[Type]]="Question", TBL_ADD_04_Qs_All[[#This Row],[No.subs]]*500, "-"))</f>
        <v>-</v>
      </c>
      <c r="G24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2" s="426" t="str">
        <f t="array" ref="I24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2" s="424" t="s">
        <v>332</v>
      </c>
      <c r="K242" s="426" t="s">
        <v>1321</v>
      </c>
      <c r="L242" s="428" t="s">
        <v>571</v>
      </c>
      <c r="M242" s="426" t="s">
        <v>479</v>
      </c>
      <c r="N24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3" spans="1:15">
      <c r="A243" s="424" t="str">
        <f>IF(TBL_ADD_04_Qs_All[[#This Row],[Type]]="Question", K244, IF(TBL_ADD_04_Qs_All[[#This Row],[Sub_No]]="N/A", "-", CONCATENATE(TBL_ADD_04_Qs_All[[#This Row],[Q_No]], TBL_ADD_04_Qs_All[[#This Row],[Sub_No]])))</f>
        <v>Q4.9.6</v>
      </c>
      <c r="B243" s="424" t="s">
        <v>152</v>
      </c>
      <c r="C24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3" s="426" t="str">
        <f>IF(OR(TBL_ADD_04_Qs_All[[#This Row],[Type]]="Overview", TBL_ADD_04_Qs_All[[#This Row],[Type]]="Sub-question", TBL_ADD_04_Qs_All[[#This Row],[Required?]]="No", TBL_ADD_04_Qs_All[[#This Row],[Section]]="IntSV", TBL_ADD_04_Qs_All[[#This Row],[Question / Sub-question]]="Not used"), "-", "")</f>
        <v>-</v>
      </c>
      <c r="E243" s="425" t="str">
        <f>IF(OR(TBL_ADD_04_Qs_All[[#This Row],[Type]]="Overview", TBL_ADD_04_Qs_All[[#This Row],[Type]]="Sub-question", TBL_ADD_04_Qs_All[[#This Row],[Required?]]="No", TBL_ADD_04_Qs_All[[#This Row],[Section]]="IntSV", TBL_ADD_04_Qs_All[[#This Row],[Question / Sub-question]]="Not used"), "-", "")</f>
        <v>-</v>
      </c>
      <c r="F243" s="427" t="str">
        <f>IF(OR(TBL_ADD_04_Qs_All[[#This Row],[Required?]]="No", TBL_ADD_04_Qs_All[[#This Row],[Section]]="IntSV", TBL_ADD_04_Qs_All[[#This Row],[Question / Sub-question]]="Not used"), "-", IF(TBL_ADD_04_Qs_All[[#This Row],[Type]]="Question", TBL_ADD_04_Qs_All[[#This Row],[No.subs]]*500, "-"))</f>
        <v>-</v>
      </c>
      <c r="G24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3" s="426" t="str">
        <f t="array" ref="I24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3" s="424" t="s">
        <v>332</v>
      </c>
      <c r="K243" s="426" t="s">
        <v>1321</v>
      </c>
      <c r="L243" s="428" t="s">
        <v>573</v>
      </c>
      <c r="M243" s="426" t="s">
        <v>479</v>
      </c>
      <c r="N24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4" spans="1:15">
      <c r="A244" s="424" t="str">
        <f>IF(TBL_ADD_04_Qs_All[[#This Row],[Type]]="Question", K245, IF(TBL_ADD_04_Qs_All[[#This Row],[Sub_No]]="N/A", "-", CONCATENATE(TBL_ADD_04_Qs_All[[#This Row],[Q_No]], TBL_ADD_04_Qs_All[[#This Row],[Sub_No]])))</f>
        <v>Q4.9.7</v>
      </c>
      <c r="B244" s="424" t="s">
        <v>152</v>
      </c>
      <c r="C24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4" s="426" t="str">
        <f>IF(OR(TBL_ADD_04_Qs_All[[#This Row],[Type]]="Overview", TBL_ADD_04_Qs_All[[#This Row],[Type]]="Sub-question", TBL_ADD_04_Qs_All[[#This Row],[Required?]]="No", TBL_ADD_04_Qs_All[[#This Row],[Section]]="IntSV", TBL_ADD_04_Qs_All[[#This Row],[Question / Sub-question]]="Not used"), "-", "")</f>
        <v>-</v>
      </c>
      <c r="E244" s="425" t="str">
        <f>IF(OR(TBL_ADD_04_Qs_All[[#This Row],[Type]]="Overview", TBL_ADD_04_Qs_All[[#This Row],[Type]]="Sub-question", TBL_ADD_04_Qs_All[[#This Row],[Required?]]="No", TBL_ADD_04_Qs_All[[#This Row],[Section]]="IntSV", TBL_ADD_04_Qs_All[[#This Row],[Question / Sub-question]]="Not used"), "-", "")</f>
        <v>-</v>
      </c>
      <c r="F244" s="427" t="str">
        <f>IF(OR(TBL_ADD_04_Qs_All[[#This Row],[Required?]]="No", TBL_ADD_04_Qs_All[[#This Row],[Section]]="IntSV", TBL_ADD_04_Qs_All[[#This Row],[Question / Sub-question]]="Not used"), "-", IF(TBL_ADD_04_Qs_All[[#This Row],[Type]]="Question", TBL_ADD_04_Qs_All[[#This Row],[No.subs]]*500, "-"))</f>
        <v>-</v>
      </c>
      <c r="G24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4" s="426" t="str">
        <f t="array" ref="I24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4" s="424" t="s">
        <v>332</v>
      </c>
      <c r="K244" s="426" t="s">
        <v>1321</v>
      </c>
      <c r="L244" s="428" t="s">
        <v>574</v>
      </c>
      <c r="M244" s="426" t="s">
        <v>479</v>
      </c>
      <c r="N24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5" spans="1:15">
      <c r="A245" s="424" t="str">
        <f>IF(TBL_ADD_04_Qs_All[[#This Row],[Type]]="Question", K246, IF(TBL_ADD_04_Qs_All[[#This Row],[Sub_No]]="N/A", "-", CONCATENATE(TBL_ADD_04_Qs_All[[#This Row],[Q_No]], TBL_ADD_04_Qs_All[[#This Row],[Sub_No]])))</f>
        <v>Q4.9.8</v>
      </c>
      <c r="B245" s="424" t="s">
        <v>152</v>
      </c>
      <c r="C24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5" s="426" t="str">
        <f>IF(OR(TBL_ADD_04_Qs_All[[#This Row],[Type]]="Overview", TBL_ADD_04_Qs_All[[#This Row],[Type]]="Sub-question", TBL_ADD_04_Qs_All[[#This Row],[Required?]]="No", TBL_ADD_04_Qs_All[[#This Row],[Section]]="IntSV", TBL_ADD_04_Qs_All[[#This Row],[Question / Sub-question]]="Not used"), "-", "")</f>
        <v>-</v>
      </c>
      <c r="E245" s="425" t="str">
        <f>IF(OR(TBL_ADD_04_Qs_All[[#This Row],[Type]]="Overview", TBL_ADD_04_Qs_All[[#This Row],[Type]]="Sub-question", TBL_ADD_04_Qs_All[[#This Row],[Required?]]="No", TBL_ADD_04_Qs_All[[#This Row],[Section]]="IntSV", TBL_ADD_04_Qs_All[[#This Row],[Question / Sub-question]]="Not used"), "-", "")</f>
        <v>-</v>
      </c>
      <c r="F245" s="427" t="str">
        <f>IF(OR(TBL_ADD_04_Qs_All[[#This Row],[Required?]]="No", TBL_ADD_04_Qs_All[[#This Row],[Section]]="IntSV", TBL_ADD_04_Qs_All[[#This Row],[Question / Sub-question]]="Not used"), "-", IF(TBL_ADD_04_Qs_All[[#This Row],[Type]]="Question", TBL_ADD_04_Qs_All[[#This Row],[No.subs]]*500, "-"))</f>
        <v>-</v>
      </c>
      <c r="G24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5" s="426" t="str">
        <f t="array" ref="I24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5" s="424" t="s">
        <v>332</v>
      </c>
      <c r="K245" s="426" t="s">
        <v>1321</v>
      </c>
      <c r="L245" s="428" t="s">
        <v>575</v>
      </c>
      <c r="M245" s="426" t="s">
        <v>479</v>
      </c>
      <c r="N24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6" spans="1:15">
      <c r="A246" s="424" t="str">
        <f>IF(TBL_ADD_04_Qs_All[[#This Row],[Type]]="Question", K247, IF(TBL_ADD_04_Qs_All[[#This Row],[Sub_No]]="N/A", "-", CONCATENATE(TBL_ADD_04_Qs_All[[#This Row],[Q_No]], TBL_ADD_04_Qs_All[[#This Row],[Sub_No]])))</f>
        <v>Q4.9.9</v>
      </c>
      <c r="B246" s="424" t="s">
        <v>152</v>
      </c>
      <c r="C24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6" s="426" t="str">
        <f>IF(OR(TBL_ADD_04_Qs_All[[#This Row],[Type]]="Overview", TBL_ADD_04_Qs_All[[#This Row],[Type]]="Sub-question", TBL_ADD_04_Qs_All[[#This Row],[Required?]]="No", TBL_ADD_04_Qs_All[[#This Row],[Section]]="IntSV", TBL_ADD_04_Qs_All[[#This Row],[Question / Sub-question]]="Not used"), "-", "")</f>
        <v>-</v>
      </c>
      <c r="E246" s="425" t="str">
        <f>IF(OR(TBL_ADD_04_Qs_All[[#This Row],[Type]]="Overview", TBL_ADD_04_Qs_All[[#This Row],[Type]]="Sub-question", TBL_ADD_04_Qs_All[[#This Row],[Required?]]="No", TBL_ADD_04_Qs_All[[#This Row],[Section]]="IntSV", TBL_ADD_04_Qs_All[[#This Row],[Question / Sub-question]]="Not used"), "-", "")</f>
        <v>-</v>
      </c>
      <c r="F246" s="427" t="str">
        <f>IF(OR(TBL_ADD_04_Qs_All[[#This Row],[Required?]]="No", TBL_ADD_04_Qs_All[[#This Row],[Section]]="IntSV", TBL_ADD_04_Qs_All[[#This Row],[Question / Sub-question]]="Not used"), "-", IF(TBL_ADD_04_Qs_All[[#This Row],[Type]]="Question", TBL_ADD_04_Qs_All[[#This Row],[No.subs]]*500, "-"))</f>
        <v>-</v>
      </c>
      <c r="G24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6" s="426" t="str">
        <f t="array" ref="I24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6" s="424" t="s">
        <v>332</v>
      </c>
      <c r="K246" s="426" t="s">
        <v>1321</v>
      </c>
      <c r="L246" s="428" t="s">
        <v>576</v>
      </c>
      <c r="M246" s="426" t="s">
        <v>479</v>
      </c>
      <c r="N24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7" spans="1:15">
      <c r="A247" s="424" t="str">
        <f>IF(TBL_ADD_04_Qs_All[[#This Row],[Type]]="Question", K248, IF(TBL_ADD_04_Qs_All[[#This Row],[Sub_No]]="N/A", "-", CONCATENATE(TBL_ADD_04_Qs_All[[#This Row],[Q_No]], TBL_ADD_04_Qs_All[[#This Row],[Sub_No]])))</f>
        <v>Q4.9.10</v>
      </c>
      <c r="B247" s="424" t="s">
        <v>152</v>
      </c>
      <c r="C24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7" s="426" t="str">
        <f>IF(OR(TBL_ADD_04_Qs_All[[#This Row],[Type]]="Overview", TBL_ADD_04_Qs_All[[#This Row],[Type]]="Sub-question", TBL_ADD_04_Qs_All[[#This Row],[Required?]]="No", TBL_ADD_04_Qs_All[[#This Row],[Section]]="IntSV", TBL_ADD_04_Qs_All[[#This Row],[Question / Sub-question]]="Not used"), "-", "")</f>
        <v>-</v>
      </c>
      <c r="E247" s="425" t="str">
        <f>IF(OR(TBL_ADD_04_Qs_All[[#This Row],[Type]]="Overview", TBL_ADD_04_Qs_All[[#This Row],[Type]]="Sub-question", TBL_ADD_04_Qs_All[[#This Row],[Required?]]="No", TBL_ADD_04_Qs_All[[#This Row],[Section]]="IntSV", TBL_ADD_04_Qs_All[[#This Row],[Question / Sub-question]]="Not used"), "-", "")</f>
        <v>-</v>
      </c>
      <c r="F247" s="427" t="str">
        <f>IF(OR(TBL_ADD_04_Qs_All[[#This Row],[Required?]]="No", TBL_ADD_04_Qs_All[[#This Row],[Section]]="IntSV", TBL_ADD_04_Qs_All[[#This Row],[Question / Sub-question]]="Not used"), "-", IF(TBL_ADD_04_Qs_All[[#This Row],[Type]]="Question", TBL_ADD_04_Qs_All[[#This Row],[No.subs]]*500, "-"))</f>
        <v>-</v>
      </c>
      <c r="G24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7" s="426" t="str">
        <f t="array" ref="I24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7" s="424" t="s">
        <v>332</v>
      </c>
      <c r="K247" s="426" t="s">
        <v>1321</v>
      </c>
      <c r="L247" s="428" t="s">
        <v>577</v>
      </c>
      <c r="M247" s="426" t="s">
        <v>479</v>
      </c>
      <c r="N24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8" spans="1:15" ht="13">
      <c r="A248" s="424" t="str">
        <f>IF(TBL_ADD_04_Qs_All[[#This Row],[Type]]="Question", K249, IF(TBL_ADD_04_Qs_All[[#This Row],[Sub_No]]="N/A", "-", CONCATENATE(TBL_ADD_04_Qs_All[[#This Row],[Q_No]], TBL_ADD_04_Qs_All[[#This Row],[Sub_No]])))</f>
        <v>Q4.10</v>
      </c>
      <c r="B248" s="424" t="s">
        <v>152</v>
      </c>
      <c r="C24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48" s="426" t="str">
        <f>IF(OR(TBL_ADD_04_Qs_All[[#This Row],[Type]]="Overview", TBL_ADD_04_Qs_All[[#This Row],[Type]]="Sub-question", TBL_ADD_04_Qs_All[[#This Row],[Required?]]="No", TBL_ADD_04_Qs_All[[#This Row],[Section]]="IntSV", TBL_ADD_04_Qs_All[[#This Row],[Question / Sub-question]]="Not used"), "-", "")</f>
        <v>-</v>
      </c>
      <c r="E248" s="425" t="str">
        <f>IF(OR(TBL_ADD_04_Qs_All[[#This Row],[Type]]="Overview", TBL_ADD_04_Qs_All[[#This Row],[Type]]="Sub-question", TBL_ADD_04_Qs_All[[#This Row],[Required?]]="No", TBL_ADD_04_Qs_All[[#This Row],[Section]]="IntSV", TBL_ADD_04_Qs_All[[#This Row],[Question / Sub-question]]="Not used"), "-", "")</f>
        <v>-</v>
      </c>
      <c r="F248" s="427" t="str">
        <f>IF(OR(TBL_ADD_04_Qs_All[[#This Row],[Required?]]="No", TBL_ADD_04_Qs_All[[#This Row],[Section]]="IntSV", TBL_ADD_04_Qs_All[[#This Row],[Question / Sub-question]]="Not used"), "-", IF(TBL_ADD_04_Qs_All[[#This Row],[Type]]="Question", TBL_ADD_04_Qs_All[[#This Row],[No.subs]]*500, "-"))</f>
        <v>-</v>
      </c>
      <c r="G24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
      </c>
      <c r="H248" s="426">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0</v>
      </c>
      <c r="I248" s="426">
        <f t="array" ref="I24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0</v>
      </c>
      <c r="J248" s="424" t="s">
        <v>146</v>
      </c>
      <c r="K248" s="426" t="s">
        <v>24</v>
      </c>
      <c r="L248" s="426" t="s">
        <v>24</v>
      </c>
      <c r="M248" s="426" t="s">
        <v>479</v>
      </c>
      <c r="N24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49" spans="1:15">
      <c r="A249" s="424" t="str">
        <f>IF(TBL_ADD_04_Qs_All[[#This Row],[Type]]="Question", K250, IF(TBL_ADD_04_Qs_All[[#This Row],[Sub_No]]="N/A", "-", CONCATENATE(TBL_ADD_04_Qs_All[[#This Row],[Q_No]], TBL_ADD_04_Qs_All[[#This Row],[Sub_No]])))</f>
        <v>Q4.10.1</v>
      </c>
      <c r="B249" s="424" t="s">
        <v>152</v>
      </c>
      <c r="C24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49" s="426" t="str">
        <f>IF(OR(TBL_ADD_04_Qs_All[[#This Row],[Type]]="Overview", TBL_ADD_04_Qs_All[[#This Row],[Type]]="Sub-question", TBL_ADD_04_Qs_All[[#This Row],[Required?]]="No", TBL_ADD_04_Qs_All[[#This Row],[Section]]="IntSV", TBL_ADD_04_Qs_All[[#This Row],[Question / Sub-question]]="Not used"), "-", "")</f>
        <v>-</v>
      </c>
      <c r="E249" s="425" t="str">
        <f>IF(OR(TBL_ADD_04_Qs_All[[#This Row],[Type]]="Overview", TBL_ADD_04_Qs_All[[#This Row],[Type]]="Sub-question", TBL_ADD_04_Qs_All[[#This Row],[Required?]]="No", TBL_ADD_04_Qs_All[[#This Row],[Section]]="IntSV", TBL_ADD_04_Qs_All[[#This Row],[Question / Sub-question]]="Not used"), "-", "")</f>
        <v>-</v>
      </c>
      <c r="F249" s="427" t="str">
        <f>IF(OR(TBL_ADD_04_Qs_All[[#This Row],[Required?]]="No", TBL_ADD_04_Qs_All[[#This Row],[Section]]="IntSV", TBL_ADD_04_Qs_All[[#This Row],[Question / Sub-question]]="Not used"), "-", IF(TBL_ADD_04_Qs_All[[#This Row],[Type]]="Question", TBL_ADD_04_Qs_All[[#This Row],[No.subs]]*500, "-"))</f>
        <v>-</v>
      </c>
      <c r="G24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4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49" s="426" t="str">
        <f t="array" ref="I24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49" s="424" t="s">
        <v>332</v>
      </c>
      <c r="K249" s="426" t="s">
        <v>1322</v>
      </c>
      <c r="L249" s="428" t="s">
        <v>568</v>
      </c>
      <c r="M249" s="426" t="s">
        <v>479</v>
      </c>
      <c r="N24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4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0" spans="1:15">
      <c r="A250" s="424" t="str">
        <f>IF(TBL_ADD_04_Qs_All[[#This Row],[Type]]="Question", K251, IF(TBL_ADD_04_Qs_All[[#This Row],[Sub_No]]="N/A", "-", CONCATENATE(TBL_ADD_04_Qs_All[[#This Row],[Q_No]], TBL_ADD_04_Qs_All[[#This Row],[Sub_No]])))</f>
        <v>Q4.10.2</v>
      </c>
      <c r="B250" s="424" t="s">
        <v>152</v>
      </c>
      <c r="C25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0" s="426" t="str">
        <f>IF(OR(TBL_ADD_04_Qs_All[[#This Row],[Type]]="Overview", TBL_ADD_04_Qs_All[[#This Row],[Type]]="Sub-question", TBL_ADD_04_Qs_All[[#This Row],[Required?]]="No", TBL_ADD_04_Qs_All[[#This Row],[Section]]="IntSV", TBL_ADD_04_Qs_All[[#This Row],[Question / Sub-question]]="Not used"), "-", "")</f>
        <v>-</v>
      </c>
      <c r="E250" s="425" t="str">
        <f>IF(OR(TBL_ADD_04_Qs_All[[#This Row],[Type]]="Overview", TBL_ADD_04_Qs_All[[#This Row],[Type]]="Sub-question", TBL_ADD_04_Qs_All[[#This Row],[Required?]]="No", TBL_ADD_04_Qs_All[[#This Row],[Section]]="IntSV", TBL_ADD_04_Qs_All[[#This Row],[Question / Sub-question]]="Not used"), "-", "")</f>
        <v>-</v>
      </c>
      <c r="F250" s="427" t="str">
        <f>IF(OR(TBL_ADD_04_Qs_All[[#This Row],[Required?]]="No", TBL_ADD_04_Qs_All[[#This Row],[Section]]="IntSV", TBL_ADD_04_Qs_All[[#This Row],[Question / Sub-question]]="Not used"), "-", IF(TBL_ADD_04_Qs_All[[#This Row],[Type]]="Question", TBL_ADD_04_Qs_All[[#This Row],[No.subs]]*500, "-"))</f>
        <v>-</v>
      </c>
      <c r="G25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0" s="426" t="str">
        <f t="array" ref="I25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0" s="424" t="s">
        <v>332</v>
      </c>
      <c r="K250" s="426" t="s">
        <v>1322</v>
      </c>
      <c r="L250" s="428" t="s">
        <v>572</v>
      </c>
      <c r="M250" s="426" t="s">
        <v>479</v>
      </c>
      <c r="N25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1" spans="1:15">
      <c r="A251" s="424" t="str">
        <f>IF(TBL_ADD_04_Qs_All[[#This Row],[Type]]="Question", K252, IF(TBL_ADD_04_Qs_All[[#This Row],[Sub_No]]="N/A", "-", CONCATENATE(TBL_ADD_04_Qs_All[[#This Row],[Q_No]], TBL_ADD_04_Qs_All[[#This Row],[Sub_No]])))</f>
        <v>Q4.10.3</v>
      </c>
      <c r="B251" s="424" t="s">
        <v>152</v>
      </c>
      <c r="C25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1" s="426" t="str">
        <f>IF(OR(TBL_ADD_04_Qs_All[[#This Row],[Type]]="Overview", TBL_ADD_04_Qs_All[[#This Row],[Type]]="Sub-question", TBL_ADD_04_Qs_All[[#This Row],[Required?]]="No", TBL_ADD_04_Qs_All[[#This Row],[Section]]="IntSV", TBL_ADD_04_Qs_All[[#This Row],[Question / Sub-question]]="Not used"), "-", "")</f>
        <v>-</v>
      </c>
      <c r="E251" s="425" t="str">
        <f>IF(OR(TBL_ADD_04_Qs_All[[#This Row],[Type]]="Overview", TBL_ADD_04_Qs_All[[#This Row],[Type]]="Sub-question", TBL_ADD_04_Qs_All[[#This Row],[Required?]]="No", TBL_ADD_04_Qs_All[[#This Row],[Section]]="IntSV", TBL_ADD_04_Qs_All[[#This Row],[Question / Sub-question]]="Not used"), "-", "")</f>
        <v>-</v>
      </c>
      <c r="F251" s="427" t="str">
        <f>IF(OR(TBL_ADD_04_Qs_All[[#This Row],[Required?]]="No", TBL_ADD_04_Qs_All[[#This Row],[Section]]="IntSV", TBL_ADD_04_Qs_All[[#This Row],[Question / Sub-question]]="Not used"), "-", IF(TBL_ADD_04_Qs_All[[#This Row],[Type]]="Question", TBL_ADD_04_Qs_All[[#This Row],[No.subs]]*500, "-"))</f>
        <v>-</v>
      </c>
      <c r="G25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1" s="426" t="str">
        <f t="array" ref="I25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1" s="424" t="s">
        <v>332</v>
      </c>
      <c r="K251" s="426" t="s">
        <v>1322</v>
      </c>
      <c r="L251" s="428" t="s">
        <v>569</v>
      </c>
      <c r="M251" s="426" t="s">
        <v>479</v>
      </c>
      <c r="N25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2" spans="1:15">
      <c r="A252" s="424" t="str">
        <f>IF(TBL_ADD_04_Qs_All[[#This Row],[Type]]="Question", K253, IF(TBL_ADD_04_Qs_All[[#This Row],[Sub_No]]="N/A", "-", CONCATENATE(TBL_ADD_04_Qs_All[[#This Row],[Q_No]], TBL_ADD_04_Qs_All[[#This Row],[Sub_No]])))</f>
        <v>Q4.10.4</v>
      </c>
      <c r="B252" s="424" t="s">
        <v>152</v>
      </c>
      <c r="C25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2" s="426" t="str">
        <f>IF(OR(TBL_ADD_04_Qs_All[[#This Row],[Type]]="Overview", TBL_ADD_04_Qs_All[[#This Row],[Type]]="Sub-question", TBL_ADD_04_Qs_All[[#This Row],[Required?]]="No", TBL_ADD_04_Qs_All[[#This Row],[Section]]="IntSV", TBL_ADD_04_Qs_All[[#This Row],[Question / Sub-question]]="Not used"), "-", "")</f>
        <v>-</v>
      </c>
      <c r="E252" s="425" t="str">
        <f>IF(OR(TBL_ADD_04_Qs_All[[#This Row],[Type]]="Overview", TBL_ADD_04_Qs_All[[#This Row],[Type]]="Sub-question", TBL_ADD_04_Qs_All[[#This Row],[Required?]]="No", TBL_ADD_04_Qs_All[[#This Row],[Section]]="IntSV", TBL_ADD_04_Qs_All[[#This Row],[Question / Sub-question]]="Not used"), "-", "")</f>
        <v>-</v>
      </c>
      <c r="F252" s="427" t="str">
        <f>IF(OR(TBL_ADD_04_Qs_All[[#This Row],[Required?]]="No", TBL_ADD_04_Qs_All[[#This Row],[Section]]="IntSV", TBL_ADD_04_Qs_All[[#This Row],[Question / Sub-question]]="Not used"), "-", IF(TBL_ADD_04_Qs_All[[#This Row],[Type]]="Question", TBL_ADD_04_Qs_All[[#This Row],[No.subs]]*500, "-"))</f>
        <v>-</v>
      </c>
      <c r="G25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2" s="426" t="str">
        <f t="array" ref="I25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2" s="424" t="s">
        <v>332</v>
      </c>
      <c r="K252" s="426" t="s">
        <v>1322</v>
      </c>
      <c r="L252" s="428" t="s">
        <v>570</v>
      </c>
      <c r="M252" s="426" t="s">
        <v>479</v>
      </c>
      <c r="N25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3" spans="1:15">
      <c r="A253" s="424" t="str">
        <f>IF(TBL_ADD_04_Qs_All[[#This Row],[Type]]="Question", K254, IF(TBL_ADD_04_Qs_All[[#This Row],[Sub_No]]="N/A", "-", CONCATENATE(TBL_ADD_04_Qs_All[[#This Row],[Q_No]], TBL_ADD_04_Qs_All[[#This Row],[Sub_No]])))</f>
        <v>Q4.10.5</v>
      </c>
      <c r="B253" s="424" t="s">
        <v>152</v>
      </c>
      <c r="C25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3" s="426" t="str">
        <f>IF(OR(TBL_ADD_04_Qs_All[[#This Row],[Type]]="Overview", TBL_ADD_04_Qs_All[[#This Row],[Type]]="Sub-question", TBL_ADD_04_Qs_All[[#This Row],[Required?]]="No", TBL_ADD_04_Qs_All[[#This Row],[Section]]="IntSV", TBL_ADD_04_Qs_All[[#This Row],[Question / Sub-question]]="Not used"), "-", "")</f>
        <v>-</v>
      </c>
      <c r="E253" s="425" t="str">
        <f>IF(OR(TBL_ADD_04_Qs_All[[#This Row],[Type]]="Overview", TBL_ADD_04_Qs_All[[#This Row],[Type]]="Sub-question", TBL_ADD_04_Qs_All[[#This Row],[Required?]]="No", TBL_ADD_04_Qs_All[[#This Row],[Section]]="IntSV", TBL_ADD_04_Qs_All[[#This Row],[Question / Sub-question]]="Not used"), "-", "")</f>
        <v>-</v>
      </c>
      <c r="F253" s="427" t="str">
        <f>IF(OR(TBL_ADD_04_Qs_All[[#This Row],[Required?]]="No", TBL_ADD_04_Qs_All[[#This Row],[Section]]="IntSV", TBL_ADD_04_Qs_All[[#This Row],[Question / Sub-question]]="Not used"), "-", IF(TBL_ADD_04_Qs_All[[#This Row],[Type]]="Question", TBL_ADD_04_Qs_All[[#This Row],[No.subs]]*500, "-"))</f>
        <v>-</v>
      </c>
      <c r="G25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3" s="426" t="str">
        <f t="array" ref="I25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3" s="424" t="s">
        <v>332</v>
      </c>
      <c r="K253" s="426" t="s">
        <v>1322</v>
      </c>
      <c r="L253" s="428" t="s">
        <v>571</v>
      </c>
      <c r="M253" s="426" t="s">
        <v>479</v>
      </c>
      <c r="N25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4" spans="1:15">
      <c r="A254" s="424" t="str">
        <f>IF(TBL_ADD_04_Qs_All[[#This Row],[Type]]="Question", K255, IF(TBL_ADD_04_Qs_All[[#This Row],[Sub_No]]="N/A", "-", CONCATENATE(TBL_ADD_04_Qs_All[[#This Row],[Q_No]], TBL_ADD_04_Qs_All[[#This Row],[Sub_No]])))</f>
        <v>Q4.10.6</v>
      </c>
      <c r="B254" s="424" t="s">
        <v>152</v>
      </c>
      <c r="C25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4" s="426" t="str">
        <f>IF(OR(TBL_ADD_04_Qs_All[[#This Row],[Type]]="Overview", TBL_ADD_04_Qs_All[[#This Row],[Type]]="Sub-question", TBL_ADD_04_Qs_All[[#This Row],[Required?]]="No", TBL_ADD_04_Qs_All[[#This Row],[Section]]="IntSV", TBL_ADD_04_Qs_All[[#This Row],[Question / Sub-question]]="Not used"), "-", "")</f>
        <v>-</v>
      </c>
      <c r="E254" s="425" t="str">
        <f>IF(OR(TBL_ADD_04_Qs_All[[#This Row],[Type]]="Overview", TBL_ADD_04_Qs_All[[#This Row],[Type]]="Sub-question", TBL_ADD_04_Qs_All[[#This Row],[Required?]]="No", TBL_ADD_04_Qs_All[[#This Row],[Section]]="IntSV", TBL_ADD_04_Qs_All[[#This Row],[Question / Sub-question]]="Not used"), "-", "")</f>
        <v>-</v>
      </c>
      <c r="F254" s="427" t="str">
        <f>IF(OR(TBL_ADD_04_Qs_All[[#This Row],[Required?]]="No", TBL_ADD_04_Qs_All[[#This Row],[Section]]="IntSV", TBL_ADD_04_Qs_All[[#This Row],[Question / Sub-question]]="Not used"), "-", IF(TBL_ADD_04_Qs_All[[#This Row],[Type]]="Question", TBL_ADD_04_Qs_All[[#This Row],[No.subs]]*500, "-"))</f>
        <v>-</v>
      </c>
      <c r="G25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4" s="426" t="str">
        <f t="array" ref="I25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4" s="424" t="s">
        <v>332</v>
      </c>
      <c r="K254" s="426" t="s">
        <v>1322</v>
      </c>
      <c r="L254" s="428" t="s">
        <v>573</v>
      </c>
      <c r="M254" s="426" t="s">
        <v>479</v>
      </c>
      <c r="N25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5" spans="1:15">
      <c r="A255" s="424" t="str">
        <f>IF(TBL_ADD_04_Qs_All[[#This Row],[Type]]="Question", K256, IF(TBL_ADD_04_Qs_All[[#This Row],[Sub_No]]="N/A", "-", CONCATENATE(TBL_ADD_04_Qs_All[[#This Row],[Q_No]], TBL_ADD_04_Qs_All[[#This Row],[Sub_No]])))</f>
        <v>Q4.10.7</v>
      </c>
      <c r="B255" s="424" t="s">
        <v>152</v>
      </c>
      <c r="C25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5" s="426" t="str">
        <f>IF(OR(TBL_ADD_04_Qs_All[[#This Row],[Type]]="Overview", TBL_ADD_04_Qs_All[[#This Row],[Type]]="Sub-question", TBL_ADD_04_Qs_All[[#This Row],[Required?]]="No", TBL_ADD_04_Qs_All[[#This Row],[Section]]="IntSV", TBL_ADD_04_Qs_All[[#This Row],[Question / Sub-question]]="Not used"), "-", "")</f>
        <v>-</v>
      </c>
      <c r="E255" s="425" t="str">
        <f>IF(OR(TBL_ADD_04_Qs_All[[#This Row],[Type]]="Overview", TBL_ADD_04_Qs_All[[#This Row],[Type]]="Sub-question", TBL_ADD_04_Qs_All[[#This Row],[Required?]]="No", TBL_ADD_04_Qs_All[[#This Row],[Section]]="IntSV", TBL_ADD_04_Qs_All[[#This Row],[Question / Sub-question]]="Not used"), "-", "")</f>
        <v>-</v>
      </c>
      <c r="F255" s="427" t="str">
        <f>IF(OR(TBL_ADD_04_Qs_All[[#This Row],[Required?]]="No", TBL_ADD_04_Qs_All[[#This Row],[Section]]="IntSV", TBL_ADD_04_Qs_All[[#This Row],[Question / Sub-question]]="Not used"), "-", IF(TBL_ADD_04_Qs_All[[#This Row],[Type]]="Question", TBL_ADD_04_Qs_All[[#This Row],[No.subs]]*500, "-"))</f>
        <v>-</v>
      </c>
      <c r="G25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5" s="426" t="str">
        <f t="array" ref="I25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5" s="424" t="s">
        <v>332</v>
      </c>
      <c r="K255" s="426" t="s">
        <v>1322</v>
      </c>
      <c r="L255" s="428" t="s">
        <v>574</v>
      </c>
      <c r="M255" s="426" t="s">
        <v>479</v>
      </c>
      <c r="N25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6" spans="1:15">
      <c r="A256" s="424" t="str">
        <f>IF(TBL_ADD_04_Qs_All[[#This Row],[Type]]="Question", K257, IF(TBL_ADD_04_Qs_All[[#This Row],[Sub_No]]="N/A", "-", CONCATENATE(TBL_ADD_04_Qs_All[[#This Row],[Q_No]], TBL_ADD_04_Qs_All[[#This Row],[Sub_No]])))</f>
        <v>Q4.10.8</v>
      </c>
      <c r="B256" s="424" t="s">
        <v>152</v>
      </c>
      <c r="C25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6" s="426" t="str">
        <f>IF(OR(TBL_ADD_04_Qs_All[[#This Row],[Type]]="Overview", TBL_ADD_04_Qs_All[[#This Row],[Type]]="Sub-question", TBL_ADD_04_Qs_All[[#This Row],[Required?]]="No", TBL_ADD_04_Qs_All[[#This Row],[Section]]="IntSV", TBL_ADD_04_Qs_All[[#This Row],[Question / Sub-question]]="Not used"), "-", "")</f>
        <v>-</v>
      </c>
      <c r="E256" s="425" t="str">
        <f>IF(OR(TBL_ADD_04_Qs_All[[#This Row],[Type]]="Overview", TBL_ADD_04_Qs_All[[#This Row],[Type]]="Sub-question", TBL_ADD_04_Qs_All[[#This Row],[Required?]]="No", TBL_ADD_04_Qs_All[[#This Row],[Section]]="IntSV", TBL_ADD_04_Qs_All[[#This Row],[Question / Sub-question]]="Not used"), "-", "")</f>
        <v>-</v>
      </c>
      <c r="F256" s="427" t="str">
        <f>IF(OR(TBL_ADD_04_Qs_All[[#This Row],[Required?]]="No", TBL_ADD_04_Qs_All[[#This Row],[Section]]="IntSV", TBL_ADD_04_Qs_All[[#This Row],[Question / Sub-question]]="Not used"), "-", IF(TBL_ADD_04_Qs_All[[#This Row],[Type]]="Question", TBL_ADD_04_Qs_All[[#This Row],[No.subs]]*500, "-"))</f>
        <v>-</v>
      </c>
      <c r="G25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6" s="426" t="str">
        <f t="array" ref="I25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6" s="424" t="s">
        <v>332</v>
      </c>
      <c r="K256" s="426" t="s">
        <v>1322</v>
      </c>
      <c r="L256" s="428" t="s">
        <v>575</v>
      </c>
      <c r="M256" s="426" t="s">
        <v>479</v>
      </c>
      <c r="N25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7" spans="1:15">
      <c r="A257" s="424" t="str">
        <f>IF(TBL_ADD_04_Qs_All[[#This Row],[Type]]="Question", K258, IF(TBL_ADD_04_Qs_All[[#This Row],[Sub_No]]="N/A", "-", CONCATENATE(TBL_ADD_04_Qs_All[[#This Row],[Q_No]], TBL_ADD_04_Qs_All[[#This Row],[Sub_No]])))</f>
        <v>Q4.10.9</v>
      </c>
      <c r="B257" s="424" t="s">
        <v>152</v>
      </c>
      <c r="C25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7" s="426" t="str">
        <f>IF(OR(TBL_ADD_04_Qs_All[[#This Row],[Type]]="Overview", TBL_ADD_04_Qs_All[[#This Row],[Type]]="Sub-question", TBL_ADD_04_Qs_All[[#This Row],[Required?]]="No", TBL_ADD_04_Qs_All[[#This Row],[Section]]="IntSV", TBL_ADD_04_Qs_All[[#This Row],[Question / Sub-question]]="Not used"), "-", "")</f>
        <v>-</v>
      </c>
      <c r="E257" s="425" t="str">
        <f>IF(OR(TBL_ADD_04_Qs_All[[#This Row],[Type]]="Overview", TBL_ADD_04_Qs_All[[#This Row],[Type]]="Sub-question", TBL_ADD_04_Qs_All[[#This Row],[Required?]]="No", TBL_ADD_04_Qs_All[[#This Row],[Section]]="IntSV", TBL_ADD_04_Qs_All[[#This Row],[Question / Sub-question]]="Not used"), "-", "")</f>
        <v>-</v>
      </c>
      <c r="F257" s="427" t="str">
        <f>IF(OR(TBL_ADD_04_Qs_All[[#This Row],[Required?]]="No", TBL_ADD_04_Qs_All[[#This Row],[Section]]="IntSV", TBL_ADD_04_Qs_All[[#This Row],[Question / Sub-question]]="Not used"), "-", IF(TBL_ADD_04_Qs_All[[#This Row],[Type]]="Question", TBL_ADD_04_Qs_All[[#This Row],[No.subs]]*500, "-"))</f>
        <v>-</v>
      </c>
      <c r="G25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7" s="426" t="str">
        <f t="array" ref="I25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7" s="424" t="s">
        <v>332</v>
      </c>
      <c r="K257" s="426" t="s">
        <v>1322</v>
      </c>
      <c r="L257" s="428" t="s">
        <v>576</v>
      </c>
      <c r="M257" s="426" t="s">
        <v>479</v>
      </c>
      <c r="N25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8" spans="1:15">
      <c r="A258" s="424" t="str">
        <f>IF(TBL_ADD_04_Qs_All[[#This Row],[Type]]="Question", K259, IF(TBL_ADD_04_Qs_All[[#This Row],[Sub_No]]="N/A", "-", CONCATENATE(TBL_ADD_04_Qs_All[[#This Row],[Q_No]], TBL_ADD_04_Qs_All[[#This Row],[Sub_No]])))</f>
        <v>Q4.10.10</v>
      </c>
      <c r="B258" s="424" t="s">
        <v>152</v>
      </c>
      <c r="C25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8" s="426" t="str">
        <f>IF(OR(TBL_ADD_04_Qs_All[[#This Row],[Type]]="Overview", TBL_ADD_04_Qs_All[[#This Row],[Type]]="Sub-question", TBL_ADD_04_Qs_All[[#This Row],[Required?]]="No", TBL_ADD_04_Qs_All[[#This Row],[Section]]="IntSV", TBL_ADD_04_Qs_All[[#This Row],[Question / Sub-question]]="Not used"), "-", "")</f>
        <v>-</v>
      </c>
      <c r="E258" s="425" t="str">
        <f>IF(OR(TBL_ADD_04_Qs_All[[#This Row],[Type]]="Overview", TBL_ADD_04_Qs_All[[#This Row],[Type]]="Sub-question", TBL_ADD_04_Qs_All[[#This Row],[Required?]]="No", TBL_ADD_04_Qs_All[[#This Row],[Section]]="IntSV", TBL_ADD_04_Qs_All[[#This Row],[Question / Sub-question]]="Not used"), "-", "")</f>
        <v>-</v>
      </c>
      <c r="F258" s="427" t="str">
        <f>IF(OR(TBL_ADD_04_Qs_All[[#This Row],[Required?]]="No", TBL_ADD_04_Qs_All[[#This Row],[Section]]="IntSV", TBL_ADD_04_Qs_All[[#This Row],[Question / Sub-question]]="Not used"), "-", IF(TBL_ADD_04_Qs_All[[#This Row],[Type]]="Question", TBL_ADD_04_Qs_All[[#This Row],[No.subs]]*500, "-"))</f>
        <v>-</v>
      </c>
      <c r="G25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8" s="426" t="str">
        <f t="array" ref="I25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8" s="424" t="s">
        <v>332</v>
      </c>
      <c r="K258" s="426" t="s">
        <v>1322</v>
      </c>
      <c r="L258" s="428" t="s">
        <v>577</v>
      </c>
      <c r="M258" s="426" t="s">
        <v>479</v>
      </c>
      <c r="N25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Yes</v>
      </c>
      <c r="O25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59" spans="1:15" ht="13">
      <c r="A259" s="424" t="str">
        <f>IF(TBL_ADD_04_Qs_All[[#This Row],[Type]]="Question", K260, IF(TBL_ADD_04_Qs_All[[#This Row],[Sub_No]]="N/A", "-", CONCATENATE(TBL_ADD_04_Qs_All[[#This Row],[Q_No]], TBL_ADD_04_Qs_All[[#This Row],[Sub_No]])))</f>
        <v>-</v>
      </c>
      <c r="B259" s="424" t="str">
        <f>IF(TBL_ADD_04_Qs_All[[#This Row],[Required?]]="Yes", CONCATENATE("Part 5 - ", REF_Int_or_SV, " questions"), "Section not used")</f>
        <v>Section not used</v>
      </c>
      <c r="C25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59" s="426" t="str">
        <f>IF(OR(TBL_ADD_04_Qs_All[[#This Row],[Type]]="Overview", TBL_ADD_04_Qs_All[[#This Row],[Type]]="Sub-question", TBL_ADD_04_Qs_All[[#This Row],[Required?]]="No", TBL_ADD_04_Qs_All[[#This Row],[Section]]="IntSV", TBL_ADD_04_Qs_All[[#This Row],[Question / Sub-question]]="Not used"), "-", "")</f>
        <v>-</v>
      </c>
      <c r="E259" s="425" t="str">
        <f>IF(OR(TBL_ADD_04_Qs_All[[#This Row],[Type]]="Overview", TBL_ADD_04_Qs_All[[#This Row],[Type]]="Sub-question", TBL_ADD_04_Qs_All[[#This Row],[Required?]]="No", TBL_ADD_04_Qs_All[[#This Row],[Section]]="IntSV", TBL_ADD_04_Qs_All[[#This Row],[Question / Sub-question]]="Not used"), "-", "")</f>
        <v>-</v>
      </c>
      <c r="F259" s="427" t="str">
        <f>IF(OR(TBL_ADD_04_Qs_All[[#This Row],[Required?]]="No", TBL_ADD_04_Qs_All[[#This Row],[Section]]="IntSV", TBL_ADD_04_Qs_All[[#This Row],[Question / Sub-question]]="Not used"), "-", IF(TBL_ADD_04_Qs_All[[#This Row],[Type]]="Question", TBL_ADD_04_Qs_All[[#This Row],[No.subs]]*500, "-"))</f>
        <v>-</v>
      </c>
      <c r="G25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5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59" s="426" t="str">
        <f t="array" ref="I25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59" s="424" t="s">
        <v>331</v>
      </c>
      <c r="K259" s="426" t="s">
        <v>339</v>
      </c>
      <c r="L259" s="426" t="s">
        <v>24</v>
      </c>
      <c r="M259" s="426" t="s">
        <v>2038</v>
      </c>
      <c r="N25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5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0" spans="1:15" ht="13">
      <c r="A260" s="424" t="str">
        <f>IF(TBL_ADD_04_Qs_All[[#This Row],[Type]]="Question", K261, IF(TBL_ADD_04_Qs_All[[#This Row],[Sub_No]]="N/A", "-", CONCATENATE(TBL_ADD_04_Qs_All[[#This Row],[Q_No]], TBL_ADD_04_Qs_All[[#This Row],[Sub_No]])))</f>
        <v>Q5.1</v>
      </c>
      <c r="B260" s="424" t="s">
        <v>152</v>
      </c>
      <c r="C26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60" s="426" t="str">
        <f>IF(OR(TBL_ADD_04_Qs_All[[#This Row],[Type]]="Overview", TBL_ADD_04_Qs_All[[#This Row],[Type]]="Sub-question", TBL_ADD_04_Qs_All[[#This Row],[Required?]]="No", TBL_ADD_04_Qs_All[[#This Row],[Section]]="IntSV", TBL_ADD_04_Qs_All[[#This Row],[Question / Sub-question]]="Not used"), "-", "")</f>
        <v>-</v>
      </c>
      <c r="E260" s="425" t="str">
        <f>IF(OR(TBL_ADD_04_Qs_All[[#This Row],[Type]]="Overview", TBL_ADD_04_Qs_All[[#This Row],[Type]]="Sub-question", TBL_ADD_04_Qs_All[[#This Row],[Required?]]="No", TBL_ADD_04_Qs_All[[#This Row],[Section]]="IntSV", TBL_ADD_04_Qs_All[[#This Row],[Question / Sub-question]]="Not used"), "-", "")</f>
        <v>-</v>
      </c>
      <c r="F260" s="427" t="str">
        <f>IF(OR(TBL_ADD_04_Qs_All[[#This Row],[Required?]]="No", TBL_ADD_04_Qs_All[[#This Row],[Section]]="IntSV", TBL_ADD_04_Qs_All[[#This Row],[Question / Sub-question]]="Not used"), "-", IF(TBL_ADD_04_Qs_All[[#This Row],[Type]]="Question", TBL_ADD_04_Qs_All[[#This Row],[No.subs]]*500, "-"))</f>
        <v>-</v>
      </c>
      <c r="G26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0" s="426" t="str">
        <f t="array" ref="I26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0" s="424" t="s">
        <v>146</v>
      </c>
      <c r="K260" s="426" t="s">
        <v>24</v>
      </c>
      <c r="L260" s="426" t="s">
        <v>24</v>
      </c>
      <c r="M260" s="426" t="s">
        <v>2038</v>
      </c>
      <c r="N26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1" spans="1:15">
      <c r="A261" s="424" t="str">
        <f>IF(TBL_ADD_04_Qs_All[[#This Row],[Type]]="Question", K262, IF(TBL_ADD_04_Qs_All[[#This Row],[Sub_No]]="N/A", "-", CONCATENATE(TBL_ADD_04_Qs_All[[#This Row],[Q_No]], TBL_ADD_04_Qs_All[[#This Row],[Sub_No]])))</f>
        <v>Q5.1.1</v>
      </c>
      <c r="B261" s="424" t="s">
        <v>152</v>
      </c>
      <c r="C26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1" s="426" t="str">
        <f>IF(OR(TBL_ADD_04_Qs_All[[#This Row],[Type]]="Overview", TBL_ADD_04_Qs_All[[#This Row],[Type]]="Sub-question", TBL_ADD_04_Qs_All[[#This Row],[Required?]]="No", TBL_ADD_04_Qs_All[[#This Row],[Section]]="IntSV", TBL_ADD_04_Qs_All[[#This Row],[Question / Sub-question]]="Not used"), "-", "")</f>
        <v>-</v>
      </c>
      <c r="E261" s="425" t="str">
        <f>IF(OR(TBL_ADD_04_Qs_All[[#This Row],[Type]]="Overview", TBL_ADD_04_Qs_All[[#This Row],[Type]]="Sub-question", TBL_ADD_04_Qs_All[[#This Row],[Required?]]="No", TBL_ADD_04_Qs_All[[#This Row],[Section]]="IntSV", TBL_ADD_04_Qs_All[[#This Row],[Question / Sub-question]]="Not used"), "-", "")</f>
        <v>-</v>
      </c>
      <c r="F261" s="427" t="str">
        <f>IF(OR(TBL_ADD_04_Qs_All[[#This Row],[Required?]]="No", TBL_ADD_04_Qs_All[[#This Row],[Section]]="IntSV", TBL_ADD_04_Qs_All[[#This Row],[Question / Sub-question]]="Not used"), "-", IF(TBL_ADD_04_Qs_All[[#This Row],[Type]]="Question", TBL_ADD_04_Qs_All[[#This Row],[No.subs]]*500, "-"))</f>
        <v>-</v>
      </c>
      <c r="G26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1" s="426" t="str">
        <f t="array" ref="I26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1" s="424" t="s">
        <v>332</v>
      </c>
      <c r="K261" s="426" t="s">
        <v>1323</v>
      </c>
      <c r="L261" s="428" t="s">
        <v>568</v>
      </c>
      <c r="M261" s="426" t="s">
        <v>2038</v>
      </c>
      <c r="N26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2" spans="1:15">
      <c r="A262" s="424" t="str">
        <f>IF(TBL_ADD_04_Qs_All[[#This Row],[Type]]="Question", K263, IF(TBL_ADD_04_Qs_All[[#This Row],[Sub_No]]="N/A", "-", CONCATENATE(TBL_ADD_04_Qs_All[[#This Row],[Q_No]], TBL_ADD_04_Qs_All[[#This Row],[Sub_No]])))</f>
        <v>Q5.1.2</v>
      </c>
      <c r="B262" s="424" t="s">
        <v>152</v>
      </c>
      <c r="C26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2" s="426" t="str">
        <f>IF(OR(TBL_ADD_04_Qs_All[[#This Row],[Type]]="Overview", TBL_ADD_04_Qs_All[[#This Row],[Type]]="Sub-question", TBL_ADD_04_Qs_All[[#This Row],[Required?]]="No", TBL_ADD_04_Qs_All[[#This Row],[Section]]="IntSV", TBL_ADD_04_Qs_All[[#This Row],[Question / Sub-question]]="Not used"), "-", "")</f>
        <v>-</v>
      </c>
      <c r="E262" s="425" t="str">
        <f>IF(OR(TBL_ADD_04_Qs_All[[#This Row],[Type]]="Overview", TBL_ADD_04_Qs_All[[#This Row],[Type]]="Sub-question", TBL_ADD_04_Qs_All[[#This Row],[Required?]]="No", TBL_ADD_04_Qs_All[[#This Row],[Section]]="IntSV", TBL_ADD_04_Qs_All[[#This Row],[Question / Sub-question]]="Not used"), "-", "")</f>
        <v>-</v>
      </c>
      <c r="F262" s="427" t="str">
        <f>IF(OR(TBL_ADD_04_Qs_All[[#This Row],[Required?]]="No", TBL_ADD_04_Qs_All[[#This Row],[Section]]="IntSV", TBL_ADD_04_Qs_All[[#This Row],[Question / Sub-question]]="Not used"), "-", IF(TBL_ADD_04_Qs_All[[#This Row],[Type]]="Question", TBL_ADD_04_Qs_All[[#This Row],[No.subs]]*500, "-"))</f>
        <v>-</v>
      </c>
      <c r="G26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2" s="426" t="str">
        <f t="array" ref="I26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2" s="424" t="s">
        <v>332</v>
      </c>
      <c r="K262" s="426" t="s">
        <v>1323</v>
      </c>
      <c r="L262" s="428" t="s">
        <v>572</v>
      </c>
      <c r="M262" s="426" t="s">
        <v>2038</v>
      </c>
      <c r="N26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3" spans="1:15">
      <c r="A263" s="424" t="str">
        <f>IF(TBL_ADD_04_Qs_All[[#This Row],[Type]]="Question", K264, IF(TBL_ADD_04_Qs_All[[#This Row],[Sub_No]]="N/A", "-", CONCATENATE(TBL_ADD_04_Qs_All[[#This Row],[Q_No]], TBL_ADD_04_Qs_All[[#This Row],[Sub_No]])))</f>
        <v>Q5.1.3</v>
      </c>
      <c r="B263" s="424" t="s">
        <v>152</v>
      </c>
      <c r="C26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3" s="426" t="str">
        <f>IF(OR(TBL_ADD_04_Qs_All[[#This Row],[Type]]="Overview", TBL_ADD_04_Qs_All[[#This Row],[Type]]="Sub-question", TBL_ADD_04_Qs_All[[#This Row],[Required?]]="No", TBL_ADD_04_Qs_All[[#This Row],[Section]]="IntSV", TBL_ADD_04_Qs_All[[#This Row],[Question / Sub-question]]="Not used"), "-", "")</f>
        <v>-</v>
      </c>
      <c r="E263" s="425" t="str">
        <f>IF(OR(TBL_ADD_04_Qs_All[[#This Row],[Type]]="Overview", TBL_ADD_04_Qs_All[[#This Row],[Type]]="Sub-question", TBL_ADD_04_Qs_All[[#This Row],[Required?]]="No", TBL_ADD_04_Qs_All[[#This Row],[Section]]="IntSV", TBL_ADD_04_Qs_All[[#This Row],[Question / Sub-question]]="Not used"), "-", "")</f>
        <v>-</v>
      </c>
      <c r="F263" s="427" t="str">
        <f>IF(OR(TBL_ADD_04_Qs_All[[#This Row],[Required?]]="No", TBL_ADD_04_Qs_All[[#This Row],[Section]]="IntSV", TBL_ADD_04_Qs_All[[#This Row],[Question / Sub-question]]="Not used"), "-", IF(TBL_ADD_04_Qs_All[[#This Row],[Type]]="Question", TBL_ADD_04_Qs_All[[#This Row],[No.subs]]*500, "-"))</f>
        <v>-</v>
      </c>
      <c r="G26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3" s="426" t="str">
        <f t="array" ref="I26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3" s="424" t="s">
        <v>332</v>
      </c>
      <c r="K263" s="426" t="s">
        <v>1323</v>
      </c>
      <c r="L263" s="428" t="s">
        <v>569</v>
      </c>
      <c r="M263" s="426" t="s">
        <v>2038</v>
      </c>
      <c r="N26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4" spans="1:15">
      <c r="A264" s="424" t="str">
        <f>IF(TBL_ADD_04_Qs_All[[#This Row],[Type]]="Question", K265, IF(TBL_ADD_04_Qs_All[[#This Row],[Sub_No]]="N/A", "-", CONCATENATE(TBL_ADD_04_Qs_All[[#This Row],[Q_No]], TBL_ADD_04_Qs_All[[#This Row],[Sub_No]])))</f>
        <v>Q5.1.4</v>
      </c>
      <c r="B264" s="424" t="s">
        <v>152</v>
      </c>
      <c r="C26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4" s="426" t="str">
        <f>IF(OR(TBL_ADD_04_Qs_All[[#This Row],[Type]]="Overview", TBL_ADD_04_Qs_All[[#This Row],[Type]]="Sub-question", TBL_ADD_04_Qs_All[[#This Row],[Required?]]="No", TBL_ADD_04_Qs_All[[#This Row],[Section]]="IntSV", TBL_ADD_04_Qs_All[[#This Row],[Question / Sub-question]]="Not used"), "-", "")</f>
        <v>-</v>
      </c>
      <c r="E264" s="425" t="str">
        <f>IF(OR(TBL_ADD_04_Qs_All[[#This Row],[Type]]="Overview", TBL_ADD_04_Qs_All[[#This Row],[Type]]="Sub-question", TBL_ADD_04_Qs_All[[#This Row],[Required?]]="No", TBL_ADD_04_Qs_All[[#This Row],[Section]]="IntSV", TBL_ADD_04_Qs_All[[#This Row],[Question / Sub-question]]="Not used"), "-", "")</f>
        <v>-</v>
      </c>
      <c r="F264" s="427" t="str">
        <f>IF(OR(TBL_ADD_04_Qs_All[[#This Row],[Required?]]="No", TBL_ADD_04_Qs_All[[#This Row],[Section]]="IntSV", TBL_ADD_04_Qs_All[[#This Row],[Question / Sub-question]]="Not used"), "-", IF(TBL_ADD_04_Qs_All[[#This Row],[Type]]="Question", TBL_ADD_04_Qs_All[[#This Row],[No.subs]]*500, "-"))</f>
        <v>-</v>
      </c>
      <c r="G26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4" s="426" t="str">
        <f t="array" ref="I26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4" s="424" t="s">
        <v>332</v>
      </c>
      <c r="K264" s="426" t="s">
        <v>1323</v>
      </c>
      <c r="L264" s="428" t="s">
        <v>570</v>
      </c>
      <c r="M264" s="426" t="s">
        <v>2038</v>
      </c>
      <c r="N26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5" spans="1:15">
      <c r="A265" s="424" t="str">
        <f>IF(TBL_ADD_04_Qs_All[[#This Row],[Type]]="Question", K266, IF(TBL_ADD_04_Qs_All[[#This Row],[Sub_No]]="N/A", "-", CONCATENATE(TBL_ADD_04_Qs_All[[#This Row],[Q_No]], TBL_ADD_04_Qs_All[[#This Row],[Sub_No]])))</f>
        <v>Q5.1.5</v>
      </c>
      <c r="B265" s="424" t="s">
        <v>152</v>
      </c>
      <c r="C26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5" s="426" t="str">
        <f>IF(OR(TBL_ADD_04_Qs_All[[#This Row],[Type]]="Overview", TBL_ADD_04_Qs_All[[#This Row],[Type]]="Sub-question", TBL_ADD_04_Qs_All[[#This Row],[Required?]]="No", TBL_ADD_04_Qs_All[[#This Row],[Section]]="IntSV", TBL_ADD_04_Qs_All[[#This Row],[Question / Sub-question]]="Not used"), "-", "")</f>
        <v>-</v>
      </c>
      <c r="E265" s="425" t="str">
        <f>IF(OR(TBL_ADD_04_Qs_All[[#This Row],[Type]]="Overview", TBL_ADD_04_Qs_All[[#This Row],[Type]]="Sub-question", TBL_ADD_04_Qs_All[[#This Row],[Required?]]="No", TBL_ADD_04_Qs_All[[#This Row],[Section]]="IntSV", TBL_ADD_04_Qs_All[[#This Row],[Question / Sub-question]]="Not used"), "-", "")</f>
        <v>-</v>
      </c>
      <c r="F265" s="427" t="str">
        <f>IF(OR(TBL_ADD_04_Qs_All[[#This Row],[Required?]]="No", TBL_ADD_04_Qs_All[[#This Row],[Section]]="IntSV", TBL_ADD_04_Qs_All[[#This Row],[Question / Sub-question]]="Not used"), "-", IF(TBL_ADD_04_Qs_All[[#This Row],[Type]]="Question", TBL_ADD_04_Qs_All[[#This Row],[No.subs]]*500, "-"))</f>
        <v>-</v>
      </c>
      <c r="G26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5" s="426" t="str">
        <f t="array" ref="I26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5" s="424" t="s">
        <v>332</v>
      </c>
      <c r="K265" s="426" t="s">
        <v>1323</v>
      </c>
      <c r="L265" s="428" t="s">
        <v>571</v>
      </c>
      <c r="M265" s="426" t="s">
        <v>2038</v>
      </c>
      <c r="N26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6" spans="1:15">
      <c r="A266" s="424" t="str">
        <f>IF(TBL_ADD_04_Qs_All[[#This Row],[Type]]="Question", K267, IF(TBL_ADD_04_Qs_All[[#This Row],[Sub_No]]="N/A", "-", CONCATENATE(TBL_ADD_04_Qs_All[[#This Row],[Q_No]], TBL_ADD_04_Qs_All[[#This Row],[Sub_No]])))</f>
        <v>Q5.1.6</v>
      </c>
      <c r="B266" s="424" t="s">
        <v>152</v>
      </c>
      <c r="C26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6" s="426" t="str">
        <f>IF(OR(TBL_ADD_04_Qs_All[[#This Row],[Type]]="Overview", TBL_ADD_04_Qs_All[[#This Row],[Type]]="Sub-question", TBL_ADD_04_Qs_All[[#This Row],[Required?]]="No", TBL_ADD_04_Qs_All[[#This Row],[Section]]="IntSV", TBL_ADD_04_Qs_All[[#This Row],[Question / Sub-question]]="Not used"), "-", "")</f>
        <v>-</v>
      </c>
      <c r="E266" s="425" t="str">
        <f>IF(OR(TBL_ADD_04_Qs_All[[#This Row],[Type]]="Overview", TBL_ADD_04_Qs_All[[#This Row],[Type]]="Sub-question", TBL_ADD_04_Qs_All[[#This Row],[Required?]]="No", TBL_ADD_04_Qs_All[[#This Row],[Section]]="IntSV", TBL_ADD_04_Qs_All[[#This Row],[Question / Sub-question]]="Not used"), "-", "")</f>
        <v>-</v>
      </c>
      <c r="F266" s="427" t="str">
        <f>IF(OR(TBL_ADD_04_Qs_All[[#This Row],[Required?]]="No", TBL_ADD_04_Qs_All[[#This Row],[Section]]="IntSV", TBL_ADD_04_Qs_All[[#This Row],[Question / Sub-question]]="Not used"), "-", IF(TBL_ADD_04_Qs_All[[#This Row],[Type]]="Question", TBL_ADD_04_Qs_All[[#This Row],[No.subs]]*500, "-"))</f>
        <v>-</v>
      </c>
      <c r="G26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6" s="426" t="str">
        <f t="array" ref="I26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6" s="424" t="s">
        <v>332</v>
      </c>
      <c r="K266" s="426" t="s">
        <v>1323</v>
      </c>
      <c r="L266" s="428" t="s">
        <v>573</v>
      </c>
      <c r="M266" s="426" t="s">
        <v>2038</v>
      </c>
      <c r="N26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7" spans="1:15">
      <c r="A267" s="424" t="str">
        <f>IF(TBL_ADD_04_Qs_All[[#This Row],[Type]]="Question", K268, IF(TBL_ADD_04_Qs_All[[#This Row],[Sub_No]]="N/A", "-", CONCATENATE(TBL_ADD_04_Qs_All[[#This Row],[Q_No]], TBL_ADD_04_Qs_All[[#This Row],[Sub_No]])))</f>
        <v>Q5.1.7</v>
      </c>
      <c r="B267" s="424" t="s">
        <v>152</v>
      </c>
      <c r="C26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7" s="426" t="str">
        <f>IF(OR(TBL_ADD_04_Qs_All[[#This Row],[Type]]="Overview", TBL_ADD_04_Qs_All[[#This Row],[Type]]="Sub-question", TBL_ADD_04_Qs_All[[#This Row],[Required?]]="No", TBL_ADD_04_Qs_All[[#This Row],[Section]]="IntSV", TBL_ADD_04_Qs_All[[#This Row],[Question / Sub-question]]="Not used"), "-", "")</f>
        <v>-</v>
      </c>
      <c r="E267" s="425" t="str">
        <f>IF(OR(TBL_ADD_04_Qs_All[[#This Row],[Type]]="Overview", TBL_ADD_04_Qs_All[[#This Row],[Type]]="Sub-question", TBL_ADD_04_Qs_All[[#This Row],[Required?]]="No", TBL_ADD_04_Qs_All[[#This Row],[Section]]="IntSV", TBL_ADD_04_Qs_All[[#This Row],[Question / Sub-question]]="Not used"), "-", "")</f>
        <v>-</v>
      </c>
      <c r="F267" s="427" t="str">
        <f>IF(OR(TBL_ADD_04_Qs_All[[#This Row],[Required?]]="No", TBL_ADD_04_Qs_All[[#This Row],[Section]]="IntSV", TBL_ADD_04_Qs_All[[#This Row],[Question / Sub-question]]="Not used"), "-", IF(TBL_ADD_04_Qs_All[[#This Row],[Type]]="Question", TBL_ADD_04_Qs_All[[#This Row],[No.subs]]*500, "-"))</f>
        <v>-</v>
      </c>
      <c r="G26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7" s="426" t="str">
        <f t="array" ref="I26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7" s="424" t="s">
        <v>332</v>
      </c>
      <c r="K267" s="426" t="s">
        <v>1323</v>
      </c>
      <c r="L267" s="428" t="s">
        <v>574</v>
      </c>
      <c r="M267" s="426" t="s">
        <v>2038</v>
      </c>
      <c r="N26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8" spans="1:15">
      <c r="A268" s="424" t="str">
        <f>IF(TBL_ADD_04_Qs_All[[#This Row],[Type]]="Question", K269, IF(TBL_ADD_04_Qs_All[[#This Row],[Sub_No]]="N/A", "-", CONCATENATE(TBL_ADD_04_Qs_All[[#This Row],[Q_No]], TBL_ADD_04_Qs_All[[#This Row],[Sub_No]])))</f>
        <v>Q5.1.8</v>
      </c>
      <c r="B268" s="424" t="s">
        <v>152</v>
      </c>
      <c r="C26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8" s="426" t="str">
        <f>IF(OR(TBL_ADD_04_Qs_All[[#This Row],[Type]]="Overview", TBL_ADD_04_Qs_All[[#This Row],[Type]]="Sub-question", TBL_ADD_04_Qs_All[[#This Row],[Required?]]="No", TBL_ADD_04_Qs_All[[#This Row],[Section]]="IntSV", TBL_ADD_04_Qs_All[[#This Row],[Question / Sub-question]]="Not used"), "-", "")</f>
        <v>-</v>
      </c>
      <c r="E268" s="425" t="str">
        <f>IF(OR(TBL_ADD_04_Qs_All[[#This Row],[Type]]="Overview", TBL_ADD_04_Qs_All[[#This Row],[Type]]="Sub-question", TBL_ADD_04_Qs_All[[#This Row],[Required?]]="No", TBL_ADD_04_Qs_All[[#This Row],[Section]]="IntSV", TBL_ADD_04_Qs_All[[#This Row],[Question / Sub-question]]="Not used"), "-", "")</f>
        <v>-</v>
      </c>
      <c r="F268" s="427" t="str">
        <f>IF(OR(TBL_ADD_04_Qs_All[[#This Row],[Required?]]="No", TBL_ADD_04_Qs_All[[#This Row],[Section]]="IntSV", TBL_ADD_04_Qs_All[[#This Row],[Question / Sub-question]]="Not used"), "-", IF(TBL_ADD_04_Qs_All[[#This Row],[Type]]="Question", TBL_ADD_04_Qs_All[[#This Row],[No.subs]]*500, "-"))</f>
        <v>-</v>
      </c>
      <c r="G26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8" s="426" t="str">
        <f t="array" ref="I26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8" s="424" t="s">
        <v>332</v>
      </c>
      <c r="K268" s="426" t="s">
        <v>1323</v>
      </c>
      <c r="L268" s="428" t="s">
        <v>575</v>
      </c>
      <c r="M268" s="426" t="s">
        <v>2038</v>
      </c>
      <c r="N26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69" spans="1:15">
      <c r="A269" s="424" t="str">
        <f>IF(TBL_ADD_04_Qs_All[[#This Row],[Type]]="Question", K270, IF(TBL_ADD_04_Qs_All[[#This Row],[Sub_No]]="N/A", "-", CONCATENATE(TBL_ADD_04_Qs_All[[#This Row],[Q_No]], TBL_ADD_04_Qs_All[[#This Row],[Sub_No]])))</f>
        <v>Q5.1.9</v>
      </c>
      <c r="B269" s="424" t="s">
        <v>152</v>
      </c>
      <c r="C26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69" s="426" t="str">
        <f>IF(OR(TBL_ADD_04_Qs_All[[#This Row],[Type]]="Overview", TBL_ADD_04_Qs_All[[#This Row],[Type]]="Sub-question", TBL_ADD_04_Qs_All[[#This Row],[Required?]]="No", TBL_ADD_04_Qs_All[[#This Row],[Section]]="IntSV", TBL_ADD_04_Qs_All[[#This Row],[Question / Sub-question]]="Not used"), "-", "")</f>
        <v>-</v>
      </c>
      <c r="E269" s="425" t="str">
        <f>IF(OR(TBL_ADD_04_Qs_All[[#This Row],[Type]]="Overview", TBL_ADD_04_Qs_All[[#This Row],[Type]]="Sub-question", TBL_ADD_04_Qs_All[[#This Row],[Required?]]="No", TBL_ADD_04_Qs_All[[#This Row],[Section]]="IntSV", TBL_ADD_04_Qs_All[[#This Row],[Question / Sub-question]]="Not used"), "-", "")</f>
        <v>-</v>
      </c>
      <c r="F269" s="427" t="str">
        <f>IF(OR(TBL_ADD_04_Qs_All[[#This Row],[Required?]]="No", TBL_ADD_04_Qs_All[[#This Row],[Section]]="IntSV", TBL_ADD_04_Qs_All[[#This Row],[Question / Sub-question]]="Not used"), "-", IF(TBL_ADD_04_Qs_All[[#This Row],[Type]]="Question", TBL_ADD_04_Qs_All[[#This Row],[No.subs]]*500, "-"))</f>
        <v>-</v>
      </c>
      <c r="G26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6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69" s="426" t="str">
        <f t="array" ref="I26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69" s="424" t="s">
        <v>332</v>
      </c>
      <c r="K269" s="426" t="s">
        <v>1323</v>
      </c>
      <c r="L269" s="428" t="s">
        <v>576</v>
      </c>
      <c r="M269" s="426" t="s">
        <v>2038</v>
      </c>
      <c r="N26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6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0" spans="1:15">
      <c r="A270" s="424" t="str">
        <f>IF(TBL_ADD_04_Qs_All[[#This Row],[Type]]="Question", K271, IF(TBL_ADD_04_Qs_All[[#This Row],[Sub_No]]="N/A", "-", CONCATENATE(TBL_ADD_04_Qs_All[[#This Row],[Q_No]], TBL_ADD_04_Qs_All[[#This Row],[Sub_No]])))</f>
        <v>Q5.1.10</v>
      </c>
      <c r="B270" s="424" t="s">
        <v>152</v>
      </c>
      <c r="C27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0" s="426" t="str">
        <f>IF(OR(TBL_ADD_04_Qs_All[[#This Row],[Type]]="Overview", TBL_ADD_04_Qs_All[[#This Row],[Type]]="Sub-question", TBL_ADD_04_Qs_All[[#This Row],[Required?]]="No", TBL_ADD_04_Qs_All[[#This Row],[Section]]="IntSV", TBL_ADD_04_Qs_All[[#This Row],[Question / Sub-question]]="Not used"), "-", "")</f>
        <v>-</v>
      </c>
      <c r="E270" s="425" t="str">
        <f>IF(OR(TBL_ADD_04_Qs_All[[#This Row],[Type]]="Overview", TBL_ADD_04_Qs_All[[#This Row],[Type]]="Sub-question", TBL_ADD_04_Qs_All[[#This Row],[Required?]]="No", TBL_ADD_04_Qs_All[[#This Row],[Section]]="IntSV", TBL_ADD_04_Qs_All[[#This Row],[Question / Sub-question]]="Not used"), "-", "")</f>
        <v>-</v>
      </c>
      <c r="F270" s="427" t="str">
        <f>IF(OR(TBL_ADD_04_Qs_All[[#This Row],[Required?]]="No", TBL_ADD_04_Qs_All[[#This Row],[Section]]="IntSV", TBL_ADD_04_Qs_All[[#This Row],[Question / Sub-question]]="Not used"), "-", IF(TBL_ADD_04_Qs_All[[#This Row],[Type]]="Question", TBL_ADD_04_Qs_All[[#This Row],[No.subs]]*500, "-"))</f>
        <v>-</v>
      </c>
      <c r="G27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0" s="426" t="str">
        <f t="array" ref="I27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0" s="424" t="s">
        <v>332</v>
      </c>
      <c r="K270" s="426" t="s">
        <v>1323</v>
      </c>
      <c r="L270" s="428" t="s">
        <v>577</v>
      </c>
      <c r="M270" s="426" t="s">
        <v>2038</v>
      </c>
      <c r="N27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1" spans="1:15" ht="13">
      <c r="A271" s="424" t="str">
        <f>IF(TBL_ADD_04_Qs_All[[#This Row],[Type]]="Question", K272, IF(TBL_ADD_04_Qs_All[[#This Row],[Sub_No]]="N/A", "-", CONCATENATE(TBL_ADD_04_Qs_All[[#This Row],[Q_No]], TBL_ADD_04_Qs_All[[#This Row],[Sub_No]])))</f>
        <v>Q5.2</v>
      </c>
      <c r="B271" s="424" t="s">
        <v>152</v>
      </c>
      <c r="C27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71" s="426" t="str">
        <f>IF(OR(TBL_ADD_04_Qs_All[[#This Row],[Type]]="Overview", TBL_ADD_04_Qs_All[[#This Row],[Type]]="Sub-question", TBL_ADD_04_Qs_All[[#This Row],[Required?]]="No", TBL_ADD_04_Qs_All[[#This Row],[Section]]="IntSV", TBL_ADD_04_Qs_All[[#This Row],[Question / Sub-question]]="Not used"), "-", "")</f>
        <v>-</v>
      </c>
      <c r="E271" s="425" t="str">
        <f>IF(OR(TBL_ADD_04_Qs_All[[#This Row],[Type]]="Overview", TBL_ADD_04_Qs_All[[#This Row],[Type]]="Sub-question", TBL_ADD_04_Qs_All[[#This Row],[Required?]]="No", TBL_ADD_04_Qs_All[[#This Row],[Section]]="IntSV", TBL_ADD_04_Qs_All[[#This Row],[Question / Sub-question]]="Not used"), "-", "")</f>
        <v>-</v>
      </c>
      <c r="F271" s="427" t="str">
        <f>IF(OR(TBL_ADD_04_Qs_All[[#This Row],[Required?]]="No", TBL_ADD_04_Qs_All[[#This Row],[Section]]="IntSV", TBL_ADD_04_Qs_All[[#This Row],[Question / Sub-question]]="Not used"), "-", IF(TBL_ADD_04_Qs_All[[#This Row],[Type]]="Question", TBL_ADD_04_Qs_All[[#This Row],[No.subs]]*500, "-"))</f>
        <v>-</v>
      </c>
      <c r="G27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1" s="426" t="str">
        <f t="array" ref="I27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1" s="424" t="s">
        <v>146</v>
      </c>
      <c r="K271" s="426" t="s">
        <v>24</v>
      </c>
      <c r="L271" s="426" t="s">
        <v>24</v>
      </c>
      <c r="M271" s="426" t="s">
        <v>2038</v>
      </c>
      <c r="N27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2" spans="1:15">
      <c r="A272" s="424" t="str">
        <f>IF(TBL_ADD_04_Qs_All[[#This Row],[Type]]="Question", K273, IF(TBL_ADD_04_Qs_All[[#This Row],[Sub_No]]="N/A", "-", CONCATENATE(TBL_ADD_04_Qs_All[[#This Row],[Q_No]], TBL_ADD_04_Qs_All[[#This Row],[Sub_No]])))</f>
        <v>Q5.2.1</v>
      </c>
      <c r="B272" s="424" t="s">
        <v>152</v>
      </c>
      <c r="C27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2" s="426" t="str">
        <f>IF(OR(TBL_ADD_04_Qs_All[[#This Row],[Type]]="Overview", TBL_ADD_04_Qs_All[[#This Row],[Type]]="Sub-question", TBL_ADD_04_Qs_All[[#This Row],[Required?]]="No", TBL_ADD_04_Qs_All[[#This Row],[Section]]="IntSV", TBL_ADD_04_Qs_All[[#This Row],[Question / Sub-question]]="Not used"), "-", "")</f>
        <v>-</v>
      </c>
      <c r="E272" s="425" t="str">
        <f>IF(OR(TBL_ADD_04_Qs_All[[#This Row],[Type]]="Overview", TBL_ADD_04_Qs_All[[#This Row],[Type]]="Sub-question", TBL_ADD_04_Qs_All[[#This Row],[Required?]]="No", TBL_ADD_04_Qs_All[[#This Row],[Section]]="IntSV", TBL_ADD_04_Qs_All[[#This Row],[Question / Sub-question]]="Not used"), "-", "")</f>
        <v>-</v>
      </c>
      <c r="F272" s="427" t="str">
        <f>IF(OR(TBL_ADD_04_Qs_All[[#This Row],[Required?]]="No", TBL_ADD_04_Qs_All[[#This Row],[Section]]="IntSV", TBL_ADD_04_Qs_All[[#This Row],[Question / Sub-question]]="Not used"), "-", IF(TBL_ADD_04_Qs_All[[#This Row],[Type]]="Question", TBL_ADD_04_Qs_All[[#This Row],[No.subs]]*500, "-"))</f>
        <v>-</v>
      </c>
      <c r="G27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2" s="426" t="str">
        <f t="array" ref="I27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2" s="424" t="s">
        <v>332</v>
      </c>
      <c r="K272" s="426" t="s">
        <v>1324</v>
      </c>
      <c r="L272" s="428" t="s">
        <v>568</v>
      </c>
      <c r="M272" s="426" t="s">
        <v>2038</v>
      </c>
      <c r="N27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3" spans="1:15">
      <c r="A273" s="424" t="str">
        <f>IF(TBL_ADD_04_Qs_All[[#This Row],[Type]]="Question", K274, IF(TBL_ADD_04_Qs_All[[#This Row],[Sub_No]]="N/A", "-", CONCATENATE(TBL_ADD_04_Qs_All[[#This Row],[Q_No]], TBL_ADD_04_Qs_All[[#This Row],[Sub_No]])))</f>
        <v>Q5.2.2</v>
      </c>
      <c r="B273" s="424" t="s">
        <v>152</v>
      </c>
      <c r="C27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3" s="426" t="str">
        <f>IF(OR(TBL_ADD_04_Qs_All[[#This Row],[Type]]="Overview", TBL_ADD_04_Qs_All[[#This Row],[Type]]="Sub-question", TBL_ADD_04_Qs_All[[#This Row],[Required?]]="No", TBL_ADD_04_Qs_All[[#This Row],[Section]]="IntSV", TBL_ADD_04_Qs_All[[#This Row],[Question / Sub-question]]="Not used"), "-", "")</f>
        <v>-</v>
      </c>
      <c r="E273" s="425" t="str">
        <f>IF(OR(TBL_ADD_04_Qs_All[[#This Row],[Type]]="Overview", TBL_ADD_04_Qs_All[[#This Row],[Type]]="Sub-question", TBL_ADD_04_Qs_All[[#This Row],[Required?]]="No", TBL_ADD_04_Qs_All[[#This Row],[Section]]="IntSV", TBL_ADD_04_Qs_All[[#This Row],[Question / Sub-question]]="Not used"), "-", "")</f>
        <v>-</v>
      </c>
      <c r="F273" s="427" t="str">
        <f>IF(OR(TBL_ADD_04_Qs_All[[#This Row],[Required?]]="No", TBL_ADD_04_Qs_All[[#This Row],[Section]]="IntSV", TBL_ADD_04_Qs_All[[#This Row],[Question / Sub-question]]="Not used"), "-", IF(TBL_ADD_04_Qs_All[[#This Row],[Type]]="Question", TBL_ADD_04_Qs_All[[#This Row],[No.subs]]*500, "-"))</f>
        <v>-</v>
      </c>
      <c r="G27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3" s="426" t="str">
        <f t="array" ref="I27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3" s="424" t="s">
        <v>332</v>
      </c>
      <c r="K273" s="426" t="s">
        <v>1324</v>
      </c>
      <c r="L273" s="428" t="s">
        <v>572</v>
      </c>
      <c r="M273" s="426" t="s">
        <v>2038</v>
      </c>
      <c r="N27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4" spans="1:15">
      <c r="A274" s="424" t="str">
        <f>IF(TBL_ADD_04_Qs_All[[#This Row],[Type]]="Question", K275, IF(TBL_ADD_04_Qs_All[[#This Row],[Sub_No]]="N/A", "-", CONCATENATE(TBL_ADD_04_Qs_All[[#This Row],[Q_No]], TBL_ADD_04_Qs_All[[#This Row],[Sub_No]])))</f>
        <v>Q5.2.3</v>
      </c>
      <c r="B274" s="424" t="s">
        <v>152</v>
      </c>
      <c r="C27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4" s="426" t="str">
        <f>IF(OR(TBL_ADD_04_Qs_All[[#This Row],[Type]]="Overview", TBL_ADD_04_Qs_All[[#This Row],[Type]]="Sub-question", TBL_ADD_04_Qs_All[[#This Row],[Required?]]="No", TBL_ADD_04_Qs_All[[#This Row],[Section]]="IntSV", TBL_ADD_04_Qs_All[[#This Row],[Question / Sub-question]]="Not used"), "-", "")</f>
        <v>-</v>
      </c>
      <c r="E274" s="425" t="str">
        <f>IF(OR(TBL_ADD_04_Qs_All[[#This Row],[Type]]="Overview", TBL_ADD_04_Qs_All[[#This Row],[Type]]="Sub-question", TBL_ADD_04_Qs_All[[#This Row],[Required?]]="No", TBL_ADD_04_Qs_All[[#This Row],[Section]]="IntSV", TBL_ADD_04_Qs_All[[#This Row],[Question / Sub-question]]="Not used"), "-", "")</f>
        <v>-</v>
      </c>
      <c r="F274" s="427" t="str">
        <f>IF(OR(TBL_ADD_04_Qs_All[[#This Row],[Required?]]="No", TBL_ADD_04_Qs_All[[#This Row],[Section]]="IntSV", TBL_ADD_04_Qs_All[[#This Row],[Question / Sub-question]]="Not used"), "-", IF(TBL_ADD_04_Qs_All[[#This Row],[Type]]="Question", TBL_ADD_04_Qs_All[[#This Row],[No.subs]]*500, "-"))</f>
        <v>-</v>
      </c>
      <c r="G27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4" s="426" t="str">
        <f t="array" ref="I27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4" s="424" t="s">
        <v>332</v>
      </c>
      <c r="K274" s="426" t="s">
        <v>1324</v>
      </c>
      <c r="L274" s="428" t="s">
        <v>569</v>
      </c>
      <c r="M274" s="426" t="s">
        <v>2038</v>
      </c>
      <c r="N27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5" spans="1:15">
      <c r="A275" s="424" t="str">
        <f>IF(TBL_ADD_04_Qs_All[[#This Row],[Type]]="Question", K276, IF(TBL_ADD_04_Qs_All[[#This Row],[Sub_No]]="N/A", "-", CONCATENATE(TBL_ADD_04_Qs_All[[#This Row],[Q_No]], TBL_ADD_04_Qs_All[[#This Row],[Sub_No]])))</f>
        <v>Q5.2.4</v>
      </c>
      <c r="B275" s="424" t="s">
        <v>152</v>
      </c>
      <c r="C27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5" s="426" t="str">
        <f>IF(OR(TBL_ADD_04_Qs_All[[#This Row],[Type]]="Overview", TBL_ADD_04_Qs_All[[#This Row],[Type]]="Sub-question", TBL_ADD_04_Qs_All[[#This Row],[Required?]]="No", TBL_ADD_04_Qs_All[[#This Row],[Section]]="IntSV", TBL_ADD_04_Qs_All[[#This Row],[Question / Sub-question]]="Not used"), "-", "")</f>
        <v>-</v>
      </c>
      <c r="E275" s="425" t="str">
        <f>IF(OR(TBL_ADD_04_Qs_All[[#This Row],[Type]]="Overview", TBL_ADD_04_Qs_All[[#This Row],[Type]]="Sub-question", TBL_ADD_04_Qs_All[[#This Row],[Required?]]="No", TBL_ADD_04_Qs_All[[#This Row],[Section]]="IntSV", TBL_ADD_04_Qs_All[[#This Row],[Question / Sub-question]]="Not used"), "-", "")</f>
        <v>-</v>
      </c>
      <c r="F275" s="427" t="str">
        <f>IF(OR(TBL_ADD_04_Qs_All[[#This Row],[Required?]]="No", TBL_ADD_04_Qs_All[[#This Row],[Section]]="IntSV", TBL_ADD_04_Qs_All[[#This Row],[Question / Sub-question]]="Not used"), "-", IF(TBL_ADD_04_Qs_All[[#This Row],[Type]]="Question", TBL_ADD_04_Qs_All[[#This Row],[No.subs]]*500, "-"))</f>
        <v>-</v>
      </c>
      <c r="G27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5" s="426" t="str">
        <f t="array" ref="I27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5" s="424" t="s">
        <v>332</v>
      </c>
      <c r="K275" s="426" t="s">
        <v>1324</v>
      </c>
      <c r="L275" s="428" t="s">
        <v>570</v>
      </c>
      <c r="M275" s="426" t="s">
        <v>2038</v>
      </c>
      <c r="N27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6" spans="1:15">
      <c r="A276" s="424" t="str">
        <f>IF(TBL_ADD_04_Qs_All[[#This Row],[Type]]="Question", K277, IF(TBL_ADD_04_Qs_All[[#This Row],[Sub_No]]="N/A", "-", CONCATENATE(TBL_ADD_04_Qs_All[[#This Row],[Q_No]], TBL_ADD_04_Qs_All[[#This Row],[Sub_No]])))</f>
        <v>Q5.2.5</v>
      </c>
      <c r="B276" s="424" t="s">
        <v>152</v>
      </c>
      <c r="C27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6" s="426" t="str">
        <f>IF(OR(TBL_ADD_04_Qs_All[[#This Row],[Type]]="Overview", TBL_ADD_04_Qs_All[[#This Row],[Type]]="Sub-question", TBL_ADD_04_Qs_All[[#This Row],[Required?]]="No", TBL_ADD_04_Qs_All[[#This Row],[Section]]="IntSV", TBL_ADD_04_Qs_All[[#This Row],[Question / Sub-question]]="Not used"), "-", "")</f>
        <v>-</v>
      </c>
      <c r="E276" s="425" t="str">
        <f>IF(OR(TBL_ADD_04_Qs_All[[#This Row],[Type]]="Overview", TBL_ADD_04_Qs_All[[#This Row],[Type]]="Sub-question", TBL_ADD_04_Qs_All[[#This Row],[Required?]]="No", TBL_ADD_04_Qs_All[[#This Row],[Section]]="IntSV", TBL_ADD_04_Qs_All[[#This Row],[Question / Sub-question]]="Not used"), "-", "")</f>
        <v>-</v>
      </c>
      <c r="F276" s="427" t="str">
        <f>IF(OR(TBL_ADD_04_Qs_All[[#This Row],[Required?]]="No", TBL_ADD_04_Qs_All[[#This Row],[Section]]="IntSV", TBL_ADD_04_Qs_All[[#This Row],[Question / Sub-question]]="Not used"), "-", IF(TBL_ADD_04_Qs_All[[#This Row],[Type]]="Question", TBL_ADD_04_Qs_All[[#This Row],[No.subs]]*500, "-"))</f>
        <v>-</v>
      </c>
      <c r="G27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6" s="426" t="str">
        <f t="array" ref="I27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6" s="424" t="s">
        <v>332</v>
      </c>
      <c r="K276" s="426" t="s">
        <v>1324</v>
      </c>
      <c r="L276" s="428" t="s">
        <v>571</v>
      </c>
      <c r="M276" s="426" t="s">
        <v>2038</v>
      </c>
      <c r="N27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7" spans="1:15">
      <c r="A277" s="424" t="str">
        <f>IF(TBL_ADD_04_Qs_All[[#This Row],[Type]]="Question", K278, IF(TBL_ADD_04_Qs_All[[#This Row],[Sub_No]]="N/A", "-", CONCATENATE(TBL_ADD_04_Qs_All[[#This Row],[Q_No]], TBL_ADD_04_Qs_All[[#This Row],[Sub_No]])))</f>
        <v>Q5.2.6</v>
      </c>
      <c r="B277" s="424" t="s">
        <v>152</v>
      </c>
      <c r="C27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7" s="426" t="str">
        <f>IF(OR(TBL_ADD_04_Qs_All[[#This Row],[Type]]="Overview", TBL_ADD_04_Qs_All[[#This Row],[Type]]="Sub-question", TBL_ADD_04_Qs_All[[#This Row],[Required?]]="No", TBL_ADD_04_Qs_All[[#This Row],[Section]]="IntSV", TBL_ADD_04_Qs_All[[#This Row],[Question / Sub-question]]="Not used"), "-", "")</f>
        <v>-</v>
      </c>
      <c r="E277" s="425" t="str">
        <f>IF(OR(TBL_ADD_04_Qs_All[[#This Row],[Type]]="Overview", TBL_ADD_04_Qs_All[[#This Row],[Type]]="Sub-question", TBL_ADD_04_Qs_All[[#This Row],[Required?]]="No", TBL_ADD_04_Qs_All[[#This Row],[Section]]="IntSV", TBL_ADD_04_Qs_All[[#This Row],[Question / Sub-question]]="Not used"), "-", "")</f>
        <v>-</v>
      </c>
      <c r="F277" s="427" t="str">
        <f>IF(OR(TBL_ADD_04_Qs_All[[#This Row],[Required?]]="No", TBL_ADD_04_Qs_All[[#This Row],[Section]]="IntSV", TBL_ADD_04_Qs_All[[#This Row],[Question / Sub-question]]="Not used"), "-", IF(TBL_ADD_04_Qs_All[[#This Row],[Type]]="Question", TBL_ADD_04_Qs_All[[#This Row],[No.subs]]*500, "-"))</f>
        <v>-</v>
      </c>
      <c r="G27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7" s="426" t="str">
        <f t="array" ref="I27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7" s="424" t="s">
        <v>332</v>
      </c>
      <c r="K277" s="426" t="s">
        <v>1324</v>
      </c>
      <c r="L277" s="428" t="s">
        <v>573</v>
      </c>
      <c r="M277" s="426" t="s">
        <v>2038</v>
      </c>
      <c r="N27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8" spans="1:15">
      <c r="A278" s="424" t="str">
        <f>IF(TBL_ADD_04_Qs_All[[#This Row],[Type]]="Question", K279, IF(TBL_ADD_04_Qs_All[[#This Row],[Sub_No]]="N/A", "-", CONCATENATE(TBL_ADD_04_Qs_All[[#This Row],[Q_No]], TBL_ADD_04_Qs_All[[#This Row],[Sub_No]])))</f>
        <v>Q5.2.7</v>
      </c>
      <c r="B278" s="424" t="s">
        <v>152</v>
      </c>
      <c r="C27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8" s="426" t="str">
        <f>IF(OR(TBL_ADD_04_Qs_All[[#This Row],[Type]]="Overview", TBL_ADD_04_Qs_All[[#This Row],[Type]]="Sub-question", TBL_ADD_04_Qs_All[[#This Row],[Required?]]="No", TBL_ADD_04_Qs_All[[#This Row],[Section]]="IntSV", TBL_ADD_04_Qs_All[[#This Row],[Question / Sub-question]]="Not used"), "-", "")</f>
        <v>-</v>
      </c>
      <c r="E278" s="425" t="str">
        <f>IF(OR(TBL_ADD_04_Qs_All[[#This Row],[Type]]="Overview", TBL_ADD_04_Qs_All[[#This Row],[Type]]="Sub-question", TBL_ADD_04_Qs_All[[#This Row],[Required?]]="No", TBL_ADD_04_Qs_All[[#This Row],[Section]]="IntSV", TBL_ADD_04_Qs_All[[#This Row],[Question / Sub-question]]="Not used"), "-", "")</f>
        <v>-</v>
      </c>
      <c r="F278" s="427" t="str">
        <f>IF(OR(TBL_ADD_04_Qs_All[[#This Row],[Required?]]="No", TBL_ADD_04_Qs_All[[#This Row],[Section]]="IntSV", TBL_ADD_04_Qs_All[[#This Row],[Question / Sub-question]]="Not used"), "-", IF(TBL_ADD_04_Qs_All[[#This Row],[Type]]="Question", TBL_ADD_04_Qs_All[[#This Row],[No.subs]]*500, "-"))</f>
        <v>-</v>
      </c>
      <c r="G27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8" s="426" t="str">
        <f t="array" ref="I27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8" s="424" t="s">
        <v>332</v>
      </c>
      <c r="K278" s="426" t="s">
        <v>1324</v>
      </c>
      <c r="L278" s="428" t="s">
        <v>574</v>
      </c>
      <c r="M278" s="426" t="s">
        <v>2038</v>
      </c>
      <c r="N27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79" spans="1:15">
      <c r="A279" s="424" t="str">
        <f>IF(TBL_ADD_04_Qs_All[[#This Row],[Type]]="Question", K280, IF(TBL_ADD_04_Qs_All[[#This Row],[Sub_No]]="N/A", "-", CONCATENATE(TBL_ADD_04_Qs_All[[#This Row],[Q_No]], TBL_ADD_04_Qs_All[[#This Row],[Sub_No]])))</f>
        <v>Q5.2.8</v>
      </c>
      <c r="B279" s="424" t="s">
        <v>152</v>
      </c>
      <c r="C27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79" s="426" t="str">
        <f>IF(OR(TBL_ADD_04_Qs_All[[#This Row],[Type]]="Overview", TBL_ADD_04_Qs_All[[#This Row],[Type]]="Sub-question", TBL_ADD_04_Qs_All[[#This Row],[Required?]]="No", TBL_ADD_04_Qs_All[[#This Row],[Section]]="IntSV", TBL_ADD_04_Qs_All[[#This Row],[Question / Sub-question]]="Not used"), "-", "")</f>
        <v>-</v>
      </c>
      <c r="E279" s="425" t="str">
        <f>IF(OR(TBL_ADD_04_Qs_All[[#This Row],[Type]]="Overview", TBL_ADD_04_Qs_All[[#This Row],[Type]]="Sub-question", TBL_ADD_04_Qs_All[[#This Row],[Required?]]="No", TBL_ADD_04_Qs_All[[#This Row],[Section]]="IntSV", TBL_ADD_04_Qs_All[[#This Row],[Question / Sub-question]]="Not used"), "-", "")</f>
        <v>-</v>
      </c>
      <c r="F279" s="427" t="str">
        <f>IF(OR(TBL_ADD_04_Qs_All[[#This Row],[Required?]]="No", TBL_ADD_04_Qs_All[[#This Row],[Section]]="IntSV", TBL_ADD_04_Qs_All[[#This Row],[Question / Sub-question]]="Not used"), "-", IF(TBL_ADD_04_Qs_All[[#This Row],[Type]]="Question", TBL_ADD_04_Qs_All[[#This Row],[No.subs]]*500, "-"))</f>
        <v>-</v>
      </c>
      <c r="G27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7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79" s="426" t="str">
        <f t="array" ref="I27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79" s="424" t="s">
        <v>332</v>
      </c>
      <c r="K279" s="426" t="s">
        <v>1324</v>
      </c>
      <c r="L279" s="428" t="s">
        <v>575</v>
      </c>
      <c r="M279" s="426" t="s">
        <v>2038</v>
      </c>
      <c r="N27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7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0" spans="1:15">
      <c r="A280" s="424" t="str">
        <f>IF(TBL_ADD_04_Qs_All[[#This Row],[Type]]="Question", K281, IF(TBL_ADD_04_Qs_All[[#This Row],[Sub_No]]="N/A", "-", CONCATENATE(TBL_ADD_04_Qs_All[[#This Row],[Q_No]], TBL_ADD_04_Qs_All[[#This Row],[Sub_No]])))</f>
        <v>Q5.2.9</v>
      </c>
      <c r="B280" s="424" t="s">
        <v>152</v>
      </c>
      <c r="C28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0" s="426" t="str">
        <f>IF(OR(TBL_ADD_04_Qs_All[[#This Row],[Type]]="Overview", TBL_ADD_04_Qs_All[[#This Row],[Type]]="Sub-question", TBL_ADD_04_Qs_All[[#This Row],[Required?]]="No", TBL_ADD_04_Qs_All[[#This Row],[Section]]="IntSV", TBL_ADD_04_Qs_All[[#This Row],[Question / Sub-question]]="Not used"), "-", "")</f>
        <v>-</v>
      </c>
      <c r="E280" s="425" t="str">
        <f>IF(OR(TBL_ADD_04_Qs_All[[#This Row],[Type]]="Overview", TBL_ADD_04_Qs_All[[#This Row],[Type]]="Sub-question", TBL_ADD_04_Qs_All[[#This Row],[Required?]]="No", TBL_ADD_04_Qs_All[[#This Row],[Section]]="IntSV", TBL_ADD_04_Qs_All[[#This Row],[Question / Sub-question]]="Not used"), "-", "")</f>
        <v>-</v>
      </c>
      <c r="F280" s="427" t="str">
        <f>IF(OR(TBL_ADD_04_Qs_All[[#This Row],[Required?]]="No", TBL_ADD_04_Qs_All[[#This Row],[Section]]="IntSV", TBL_ADD_04_Qs_All[[#This Row],[Question / Sub-question]]="Not used"), "-", IF(TBL_ADD_04_Qs_All[[#This Row],[Type]]="Question", TBL_ADD_04_Qs_All[[#This Row],[No.subs]]*500, "-"))</f>
        <v>-</v>
      </c>
      <c r="G28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0" s="426" t="str">
        <f t="array" ref="I28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0" s="424" t="s">
        <v>332</v>
      </c>
      <c r="K280" s="426" t="s">
        <v>1324</v>
      </c>
      <c r="L280" s="428" t="s">
        <v>576</v>
      </c>
      <c r="M280" s="426" t="s">
        <v>2038</v>
      </c>
      <c r="N28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1" spans="1:15">
      <c r="A281" s="424" t="str">
        <f>IF(TBL_ADD_04_Qs_All[[#This Row],[Type]]="Question", K282, IF(TBL_ADD_04_Qs_All[[#This Row],[Sub_No]]="N/A", "-", CONCATENATE(TBL_ADD_04_Qs_All[[#This Row],[Q_No]], TBL_ADD_04_Qs_All[[#This Row],[Sub_No]])))</f>
        <v>Q5.2.10</v>
      </c>
      <c r="B281" s="424" t="s">
        <v>152</v>
      </c>
      <c r="C28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1" s="426" t="str">
        <f>IF(OR(TBL_ADD_04_Qs_All[[#This Row],[Type]]="Overview", TBL_ADD_04_Qs_All[[#This Row],[Type]]="Sub-question", TBL_ADD_04_Qs_All[[#This Row],[Required?]]="No", TBL_ADD_04_Qs_All[[#This Row],[Section]]="IntSV", TBL_ADD_04_Qs_All[[#This Row],[Question / Sub-question]]="Not used"), "-", "")</f>
        <v>-</v>
      </c>
      <c r="E281" s="425" t="str">
        <f>IF(OR(TBL_ADD_04_Qs_All[[#This Row],[Type]]="Overview", TBL_ADD_04_Qs_All[[#This Row],[Type]]="Sub-question", TBL_ADD_04_Qs_All[[#This Row],[Required?]]="No", TBL_ADD_04_Qs_All[[#This Row],[Section]]="IntSV", TBL_ADD_04_Qs_All[[#This Row],[Question / Sub-question]]="Not used"), "-", "")</f>
        <v>-</v>
      </c>
      <c r="F281" s="427" t="str">
        <f>IF(OR(TBL_ADD_04_Qs_All[[#This Row],[Required?]]="No", TBL_ADD_04_Qs_All[[#This Row],[Section]]="IntSV", TBL_ADD_04_Qs_All[[#This Row],[Question / Sub-question]]="Not used"), "-", IF(TBL_ADD_04_Qs_All[[#This Row],[Type]]="Question", TBL_ADD_04_Qs_All[[#This Row],[No.subs]]*500, "-"))</f>
        <v>-</v>
      </c>
      <c r="G28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1" s="426" t="str">
        <f t="array" ref="I28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1" s="424" t="s">
        <v>332</v>
      </c>
      <c r="K281" s="426" t="s">
        <v>1324</v>
      </c>
      <c r="L281" s="428" t="s">
        <v>577</v>
      </c>
      <c r="M281" s="426" t="s">
        <v>2038</v>
      </c>
      <c r="N28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2" spans="1:15" ht="13">
      <c r="A282" s="424" t="str">
        <f>IF(TBL_ADD_04_Qs_All[[#This Row],[Type]]="Question", K283, IF(TBL_ADD_04_Qs_All[[#This Row],[Sub_No]]="N/A", "-", CONCATENATE(TBL_ADD_04_Qs_All[[#This Row],[Q_No]], TBL_ADD_04_Qs_All[[#This Row],[Sub_No]])))</f>
        <v>Q5.3</v>
      </c>
      <c r="B282" s="424" t="s">
        <v>152</v>
      </c>
      <c r="C28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82" s="426" t="str">
        <f>IF(OR(TBL_ADD_04_Qs_All[[#This Row],[Type]]="Overview", TBL_ADD_04_Qs_All[[#This Row],[Type]]="Sub-question", TBL_ADD_04_Qs_All[[#This Row],[Required?]]="No", TBL_ADD_04_Qs_All[[#This Row],[Section]]="IntSV", TBL_ADD_04_Qs_All[[#This Row],[Question / Sub-question]]="Not used"), "-", "")</f>
        <v>-</v>
      </c>
      <c r="E282" s="425" t="str">
        <f>IF(OR(TBL_ADD_04_Qs_All[[#This Row],[Type]]="Overview", TBL_ADD_04_Qs_All[[#This Row],[Type]]="Sub-question", TBL_ADD_04_Qs_All[[#This Row],[Required?]]="No", TBL_ADD_04_Qs_All[[#This Row],[Section]]="IntSV", TBL_ADD_04_Qs_All[[#This Row],[Question / Sub-question]]="Not used"), "-", "")</f>
        <v>-</v>
      </c>
      <c r="F282" s="427" t="str">
        <f>IF(OR(TBL_ADD_04_Qs_All[[#This Row],[Required?]]="No", TBL_ADD_04_Qs_All[[#This Row],[Section]]="IntSV", TBL_ADD_04_Qs_All[[#This Row],[Question / Sub-question]]="Not used"), "-", IF(TBL_ADD_04_Qs_All[[#This Row],[Type]]="Question", TBL_ADD_04_Qs_All[[#This Row],[No.subs]]*500, "-"))</f>
        <v>-</v>
      </c>
      <c r="G28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2" s="426" t="str">
        <f t="array" ref="I28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2" s="424" t="s">
        <v>146</v>
      </c>
      <c r="K282" s="426" t="s">
        <v>24</v>
      </c>
      <c r="L282" s="426" t="s">
        <v>24</v>
      </c>
      <c r="M282" s="426" t="s">
        <v>2038</v>
      </c>
      <c r="N28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3" spans="1:15">
      <c r="A283" s="424" t="str">
        <f>IF(TBL_ADD_04_Qs_All[[#This Row],[Type]]="Question", K284, IF(TBL_ADD_04_Qs_All[[#This Row],[Sub_No]]="N/A", "-", CONCATENATE(TBL_ADD_04_Qs_All[[#This Row],[Q_No]], TBL_ADD_04_Qs_All[[#This Row],[Sub_No]])))</f>
        <v>Q5.3.1</v>
      </c>
      <c r="B283" s="424" t="s">
        <v>152</v>
      </c>
      <c r="C28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3" s="426" t="str">
        <f>IF(OR(TBL_ADD_04_Qs_All[[#This Row],[Type]]="Overview", TBL_ADD_04_Qs_All[[#This Row],[Type]]="Sub-question", TBL_ADD_04_Qs_All[[#This Row],[Required?]]="No", TBL_ADD_04_Qs_All[[#This Row],[Section]]="IntSV", TBL_ADD_04_Qs_All[[#This Row],[Question / Sub-question]]="Not used"), "-", "")</f>
        <v>-</v>
      </c>
      <c r="E283" s="425" t="str">
        <f>IF(OR(TBL_ADD_04_Qs_All[[#This Row],[Type]]="Overview", TBL_ADD_04_Qs_All[[#This Row],[Type]]="Sub-question", TBL_ADD_04_Qs_All[[#This Row],[Required?]]="No", TBL_ADD_04_Qs_All[[#This Row],[Section]]="IntSV", TBL_ADD_04_Qs_All[[#This Row],[Question / Sub-question]]="Not used"), "-", "")</f>
        <v>-</v>
      </c>
      <c r="F283" s="427" t="str">
        <f>IF(OR(TBL_ADD_04_Qs_All[[#This Row],[Required?]]="No", TBL_ADD_04_Qs_All[[#This Row],[Section]]="IntSV", TBL_ADD_04_Qs_All[[#This Row],[Question / Sub-question]]="Not used"), "-", IF(TBL_ADD_04_Qs_All[[#This Row],[Type]]="Question", TBL_ADD_04_Qs_All[[#This Row],[No.subs]]*500, "-"))</f>
        <v>-</v>
      </c>
      <c r="G28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3" s="426" t="str">
        <f t="array" ref="I28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3" s="424" t="s">
        <v>332</v>
      </c>
      <c r="K283" s="426" t="s">
        <v>1325</v>
      </c>
      <c r="L283" s="428" t="s">
        <v>568</v>
      </c>
      <c r="M283" s="426" t="s">
        <v>2038</v>
      </c>
      <c r="N28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4" spans="1:15">
      <c r="A284" s="424" t="str">
        <f>IF(TBL_ADD_04_Qs_All[[#This Row],[Type]]="Question", K285, IF(TBL_ADD_04_Qs_All[[#This Row],[Sub_No]]="N/A", "-", CONCATENATE(TBL_ADD_04_Qs_All[[#This Row],[Q_No]], TBL_ADD_04_Qs_All[[#This Row],[Sub_No]])))</f>
        <v>Q5.3.2</v>
      </c>
      <c r="B284" s="424" t="s">
        <v>152</v>
      </c>
      <c r="C28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4" s="426" t="str">
        <f>IF(OR(TBL_ADD_04_Qs_All[[#This Row],[Type]]="Overview", TBL_ADD_04_Qs_All[[#This Row],[Type]]="Sub-question", TBL_ADD_04_Qs_All[[#This Row],[Required?]]="No", TBL_ADD_04_Qs_All[[#This Row],[Section]]="IntSV", TBL_ADD_04_Qs_All[[#This Row],[Question / Sub-question]]="Not used"), "-", "")</f>
        <v>-</v>
      </c>
      <c r="E284" s="425" t="str">
        <f>IF(OR(TBL_ADD_04_Qs_All[[#This Row],[Type]]="Overview", TBL_ADD_04_Qs_All[[#This Row],[Type]]="Sub-question", TBL_ADD_04_Qs_All[[#This Row],[Required?]]="No", TBL_ADD_04_Qs_All[[#This Row],[Section]]="IntSV", TBL_ADD_04_Qs_All[[#This Row],[Question / Sub-question]]="Not used"), "-", "")</f>
        <v>-</v>
      </c>
      <c r="F284" s="427" t="str">
        <f>IF(OR(TBL_ADD_04_Qs_All[[#This Row],[Required?]]="No", TBL_ADD_04_Qs_All[[#This Row],[Section]]="IntSV", TBL_ADD_04_Qs_All[[#This Row],[Question / Sub-question]]="Not used"), "-", IF(TBL_ADD_04_Qs_All[[#This Row],[Type]]="Question", TBL_ADD_04_Qs_All[[#This Row],[No.subs]]*500, "-"))</f>
        <v>-</v>
      </c>
      <c r="G28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4" s="426" t="str">
        <f t="array" ref="I28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4" s="424" t="s">
        <v>332</v>
      </c>
      <c r="K284" s="426" t="s">
        <v>1325</v>
      </c>
      <c r="L284" s="428" t="s">
        <v>572</v>
      </c>
      <c r="M284" s="426" t="s">
        <v>2038</v>
      </c>
      <c r="N28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5" spans="1:15">
      <c r="A285" s="424" t="str">
        <f>IF(TBL_ADD_04_Qs_All[[#This Row],[Type]]="Question", K286, IF(TBL_ADD_04_Qs_All[[#This Row],[Sub_No]]="N/A", "-", CONCATENATE(TBL_ADD_04_Qs_All[[#This Row],[Q_No]], TBL_ADD_04_Qs_All[[#This Row],[Sub_No]])))</f>
        <v>Q5.3.3</v>
      </c>
      <c r="B285" s="424" t="s">
        <v>152</v>
      </c>
      <c r="C28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5" s="426" t="str">
        <f>IF(OR(TBL_ADD_04_Qs_All[[#This Row],[Type]]="Overview", TBL_ADD_04_Qs_All[[#This Row],[Type]]="Sub-question", TBL_ADD_04_Qs_All[[#This Row],[Required?]]="No", TBL_ADD_04_Qs_All[[#This Row],[Section]]="IntSV", TBL_ADD_04_Qs_All[[#This Row],[Question / Sub-question]]="Not used"), "-", "")</f>
        <v>-</v>
      </c>
      <c r="E285" s="425" t="str">
        <f>IF(OR(TBL_ADD_04_Qs_All[[#This Row],[Type]]="Overview", TBL_ADD_04_Qs_All[[#This Row],[Type]]="Sub-question", TBL_ADD_04_Qs_All[[#This Row],[Required?]]="No", TBL_ADD_04_Qs_All[[#This Row],[Section]]="IntSV", TBL_ADD_04_Qs_All[[#This Row],[Question / Sub-question]]="Not used"), "-", "")</f>
        <v>-</v>
      </c>
      <c r="F285" s="427" t="str">
        <f>IF(OR(TBL_ADD_04_Qs_All[[#This Row],[Required?]]="No", TBL_ADD_04_Qs_All[[#This Row],[Section]]="IntSV", TBL_ADD_04_Qs_All[[#This Row],[Question / Sub-question]]="Not used"), "-", IF(TBL_ADD_04_Qs_All[[#This Row],[Type]]="Question", TBL_ADD_04_Qs_All[[#This Row],[No.subs]]*500, "-"))</f>
        <v>-</v>
      </c>
      <c r="G28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5" s="426" t="str">
        <f t="array" ref="I28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5" s="424" t="s">
        <v>332</v>
      </c>
      <c r="K285" s="426" t="s">
        <v>1325</v>
      </c>
      <c r="L285" s="428" t="s">
        <v>569</v>
      </c>
      <c r="M285" s="426" t="s">
        <v>2038</v>
      </c>
      <c r="N28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6" spans="1:15">
      <c r="A286" s="424" t="str">
        <f>IF(TBL_ADD_04_Qs_All[[#This Row],[Type]]="Question", K287, IF(TBL_ADD_04_Qs_All[[#This Row],[Sub_No]]="N/A", "-", CONCATENATE(TBL_ADD_04_Qs_All[[#This Row],[Q_No]], TBL_ADD_04_Qs_All[[#This Row],[Sub_No]])))</f>
        <v>Q5.3.4</v>
      </c>
      <c r="B286" s="424" t="s">
        <v>152</v>
      </c>
      <c r="C28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6" s="426" t="str">
        <f>IF(OR(TBL_ADD_04_Qs_All[[#This Row],[Type]]="Overview", TBL_ADD_04_Qs_All[[#This Row],[Type]]="Sub-question", TBL_ADD_04_Qs_All[[#This Row],[Required?]]="No", TBL_ADD_04_Qs_All[[#This Row],[Section]]="IntSV", TBL_ADD_04_Qs_All[[#This Row],[Question / Sub-question]]="Not used"), "-", "")</f>
        <v>-</v>
      </c>
      <c r="E286" s="425" t="str">
        <f>IF(OR(TBL_ADD_04_Qs_All[[#This Row],[Type]]="Overview", TBL_ADD_04_Qs_All[[#This Row],[Type]]="Sub-question", TBL_ADD_04_Qs_All[[#This Row],[Required?]]="No", TBL_ADD_04_Qs_All[[#This Row],[Section]]="IntSV", TBL_ADD_04_Qs_All[[#This Row],[Question / Sub-question]]="Not used"), "-", "")</f>
        <v>-</v>
      </c>
      <c r="F286" s="427" t="str">
        <f>IF(OR(TBL_ADD_04_Qs_All[[#This Row],[Required?]]="No", TBL_ADD_04_Qs_All[[#This Row],[Section]]="IntSV", TBL_ADD_04_Qs_All[[#This Row],[Question / Sub-question]]="Not used"), "-", IF(TBL_ADD_04_Qs_All[[#This Row],[Type]]="Question", TBL_ADD_04_Qs_All[[#This Row],[No.subs]]*500, "-"))</f>
        <v>-</v>
      </c>
      <c r="G28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6" s="426" t="str">
        <f t="array" ref="I28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6" s="424" t="s">
        <v>332</v>
      </c>
      <c r="K286" s="426" t="s">
        <v>1325</v>
      </c>
      <c r="L286" s="428" t="s">
        <v>570</v>
      </c>
      <c r="M286" s="426" t="s">
        <v>2038</v>
      </c>
      <c r="N28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7" spans="1:15">
      <c r="A287" s="424" t="str">
        <f>IF(TBL_ADD_04_Qs_All[[#This Row],[Type]]="Question", K288, IF(TBL_ADD_04_Qs_All[[#This Row],[Sub_No]]="N/A", "-", CONCATENATE(TBL_ADD_04_Qs_All[[#This Row],[Q_No]], TBL_ADD_04_Qs_All[[#This Row],[Sub_No]])))</f>
        <v>Q5.3.5</v>
      </c>
      <c r="B287" s="424" t="s">
        <v>152</v>
      </c>
      <c r="C28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7" s="426" t="str">
        <f>IF(OR(TBL_ADD_04_Qs_All[[#This Row],[Type]]="Overview", TBL_ADD_04_Qs_All[[#This Row],[Type]]="Sub-question", TBL_ADD_04_Qs_All[[#This Row],[Required?]]="No", TBL_ADD_04_Qs_All[[#This Row],[Section]]="IntSV", TBL_ADD_04_Qs_All[[#This Row],[Question / Sub-question]]="Not used"), "-", "")</f>
        <v>-</v>
      </c>
      <c r="E287" s="425" t="str">
        <f>IF(OR(TBL_ADD_04_Qs_All[[#This Row],[Type]]="Overview", TBL_ADD_04_Qs_All[[#This Row],[Type]]="Sub-question", TBL_ADD_04_Qs_All[[#This Row],[Required?]]="No", TBL_ADD_04_Qs_All[[#This Row],[Section]]="IntSV", TBL_ADD_04_Qs_All[[#This Row],[Question / Sub-question]]="Not used"), "-", "")</f>
        <v>-</v>
      </c>
      <c r="F287" s="427" t="str">
        <f>IF(OR(TBL_ADD_04_Qs_All[[#This Row],[Required?]]="No", TBL_ADD_04_Qs_All[[#This Row],[Section]]="IntSV", TBL_ADD_04_Qs_All[[#This Row],[Question / Sub-question]]="Not used"), "-", IF(TBL_ADD_04_Qs_All[[#This Row],[Type]]="Question", TBL_ADD_04_Qs_All[[#This Row],[No.subs]]*500, "-"))</f>
        <v>-</v>
      </c>
      <c r="G28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7" s="426" t="str">
        <f t="array" ref="I28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7" s="424" t="s">
        <v>332</v>
      </c>
      <c r="K287" s="426" t="s">
        <v>1325</v>
      </c>
      <c r="L287" s="428" t="s">
        <v>571</v>
      </c>
      <c r="M287" s="426" t="s">
        <v>2038</v>
      </c>
      <c r="N28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8" spans="1:15">
      <c r="A288" s="424" t="str">
        <f>IF(TBL_ADD_04_Qs_All[[#This Row],[Type]]="Question", K289, IF(TBL_ADD_04_Qs_All[[#This Row],[Sub_No]]="N/A", "-", CONCATENATE(TBL_ADD_04_Qs_All[[#This Row],[Q_No]], TBL_ADD_04_Qs_All[[#This Row],[Sub_No]])))</f>
        <v>Q5.3.6</v>
      </c>
      <c r="B288" s="424" t="s">
        <v>152</v>
      </c>
      <c r="C28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8" s="426" t="str">
        <f>IF(OR(TBL_ADD_04_Qs_All[[#This Row],[Type]]="Overview", TBL_ADD_04_Qs_All[[#This Row],[Type]]="Sub-question", TBL_ADD_04_Qs_All[[#This Row],[Required?]]="No", TBL_ADD_04_Qs_All[[#This Row],[Section]]="IntSV", TBL_ADD_04_Qs_All[[#This Row],[Question / Sub-question]]="Not used"), "-", "")</f>
        <v>-</v>
      </c>
      <c r="E288" s="425" t="str">
        <f>IF(OR(TBL_ADD_04_Qs_All[[#This Row],[Type]]="Overview", TBL_ADD_04_Qs_All[[#This Row],[Type]]="Sub-question", TBL_ADD_04_Qs_All[[#This Row],[Required?]]="No", TBL_ADD_04_Qs_All[[#This Row],[Section]]="IntSV", TBL_ADD_04_Qs_All[[#This Row],[Question / Sub-question]]="Not used"), "-", "")</f>
        <v>-</v>
      </c>
      <c r="F288" s="427" t="str">
        <f>IF(OR(TBL_ADD_04_Qs_All[[#This Row],[Required?]]="No", TBL_ADD_04_Qs_All[[#This Row],[Section]]="IntSV", TBL_ADD_04_Qs_All[[#This Row],[Question / Sub-question]]="Not used"), "-", IF(TBL_ADD_04_Qs_All[[#This Row],[Type]]="Question", TBL_ADD_04_Qs_All[[#This Row],[No.subs]]*500, "-"))</f>
        <v>-</v>
      </c>
      <c r="G28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8" s="426" t="str">
        <f t="array" ref="I28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8" s="424" t="s">
        <v>332</v>
      </c>
      <c r="K288" s="426" t="s">
        <v>1325</v>
      </c>
      <c r="L288" s="428" t="s">
        <v>573</v>
      </c>
      <c r="M288" s="426" t="s">
        <v>2038</v>
      </c>
      <c r="N28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89" spans="1:15">
      <c r="A289" s="424" t="str">
        <f>IF(TBL_ADD_04_Qs_All[[#This Row],[Type]]="Question", K290, IF(TBL_ADD_04_Qs_All[[#This Row],[Sub_No]]="N/A", "-", CONCATENATE(TBL_ADD_04_Qs_All[[#This Row],[Q_No]], TBL_ADD_04_Qs_All[[#This Row],[Sub_No]])))</f>
        <v>Q5.3.7</v>
      </c>
      <c r="B289" s="424" t="s">
        <v>152</v>
      </c>
      <c r="C28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89" s="426" t="str">
        <f>IF(OR(TBL_ADD_04_Qs_All[[#This Row],[Type]]="Overview", TBL_ADD_04_Qs_All[[#This Row],[Type]]="Sub-question", TBL_ADD_04_Qs_All[[#This Row],[Required?]]="No", TBL_ADD_04_Qs_All[[#This Row],[Section]]="IntSV", TBL_ADD_04_Qs_All[[#This Row],[Question / Sub-question]]="Not used"), "-", "")</f>
        <v>-</v>
      </c>
      <c r="E289" s="425" t="str">
        <f>IF(OR(TBL_ADD_04_Qs_All[[#This Row],[Type]]="Overview", TBL_ADD_04_Qs_All[[#This Row],[Type]]="Sub-question", TBL_ADD_04_Qs_All[[#This Row],[Required?]]="No", TBL_ADD_04_Qs_All[[#This Row],[Section]]="IntSV", TBL_ADD_04_Qs_All[[#This Row],[Question / Sub-question]]="Not used"), "-", "")</f>
        <v>-</v>
      </c>
      <c r="F289" s="427" t="str">
        <f>IF(OR(TBL_ADD_04_Qs_All[[#This Row],[Required?]]="No", TBL_ADD_04_Qs_All[[#This Row],[Section]]="IntSV", TBL_ADD_04_Qs_All[[#This Row],[Question / Sub-question]]="Not used"), "-", IF(TBL_ADD_04_Qs_All[[#This Row],[Type]]="Question", TBL_ADD_04_Qs_All[[#This Row],[No.subs]]*500, "-"))</f>
        <v>-</v>
      </c>
      <c r="G28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8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89" s="426" t="str">
        <f t="array" ref="I28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89" s="424" t="s">
        <v>332</v>
      </c>
      <c r="K289" s="426" t="s">
        <v>1325</v>
      </c>
      <c r="L289" s="428" t="s">
        <v>574</v>
      </c>
      <c r="M289" s="426" t="s">
        <v>2038</v>
      </c>
      <c r="N28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8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0" spans="1:15">
      <c r="A290" s="424" t="str">
        <f>IF(TBL_ADD_04_Qs_All[[#This Row],[Type]]="Question", K291, IF(TBL_ADD_04_Qs_All[[#This Row],[Sub_No]]="N/A", "-", CONCATENATE(TBL_ADD_04_Qs_All[[#This Row],[Q_No]], TBL_ADD_04_Qs_All[[#This Row],[Sub_No]])))</f>
        <v>Q5.3.8</v>
      </c>
      <c r="B290" s="424" t="s">
        <v>152</v>
      </c>
      <c r="C29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0" s="426" t="str">
        <f>IF(OR(TBL_ADD_04_Qs_All[[#This Row],[Type]]="Overview", TBL_ADD_04_Qs_All[[#This Row],[Type]]="Sub-question", TBL_ADD_04_Qs_All[[#This Row],[Required?]]="No", TBL_ADD_04_Qs_All[[#This Row],[Section]]="IntSV", TBL_ADD_04_Qs_All[[#This Row],[Question / Sub-question]]="Not used"), "-", "")</f>
        <v>-</v>
      </c>
      <c r="E290" s="425" t="str">
        <f>IF(OR(TBL_ADD_04_Qs_All[[#This Row],[Type]]="Overview", TBL_ADD_04_Qs_All[[#This Row],[Type]]="Sub-question", TBL_ADD_04_Qs_All[[#This Row],[Required?]]="No", TBL_ADD_04_Qs_All[[#This Row],[Section]]="IntSV", TBL_ADD_04_Qs_All[[#This Row],[Question / Sub-question]]="Not used"), "-", "")</f>
        <v>-</v>
      </c>
      <c r="F290" s="427" t="str">
        <f>IF(OR(TBL_ADD_04_Qs_All[[#This Row],[Required?]]="No", TBL_ADD_04_Qs_All[[#This Row],[Section]]="IntSV", TBL_ADD_04_Qs_All[[#This Row],[Question / Sub-question]]="Not used"), "-", IF(TBL_ADD_04_Qs_All[[#This Row],[Type]]="Question", TBL_ADD_04_Qs_All[[#This Row],[No.subs]]*500, "-"))</f>
        <v>-</v>
      </c>
      <c r="G29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0" s="426" t="str">
        <f t="array" ref="I29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0" s="424" t="s">
        <v>332</v>
      </c>
      <c r="K290" s="426" t="s">
        <v>1325</v>
      </c>
      <c r="L290" s="428" t="s">
        <v>575</v>
      </c>
      <c r="M290" s="426" t="s">
        <v>2038</v>
      </c>
      <c r="N29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1" spans="1:15">
      <c r="A291" s="424" t="str">
        <f>IF(TBL_ADD_04_Qs_All[[#This Row],[Type]]="Question", K292, IF(TBL_ADD_04_Qs_All[[#This Row],[Sub_No]]="N/A", "-", CONCATENATE(TBL_ADD_04_Qs_All[[#This Row],[Q_No]], TBL_ADD_04_Qs_All[[#This Row],[Sub_No]])))</f>
        <v>Q5.3.9</v>
      </c>
      <c r="B291" s="424" t="s">
        <v>152</v>
      </c>
      <c r="C29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1" s="426" t="str">
        <f>IF(OR(TBL_ADD_04_Qs_All[[#This Row],[Type]]="Overview", TBL_ADD_04_Qs_All[[#This Row],[Type]]="Sub-question", TBL_ADD_04_Qs_All[[#This Row],[Required?]]="No", TBL_ADD_04_Qs_All[[#This Row],[Section]]="IntSV", TBL_ADD_04_Qs_All[[#This Row],[Question / Sub-question]]="Not used"), "-", "")</f>
        <v>-</v>
      </c>
      <c r="E291" s="425" t="str">
        <f>IF(OR(TBL_ADD_04_Qs_All[[#This Row],[Type]]="Overview", TBL_ADD_04_Qs_All[[#This Row],[Type]]="Sub-question", TBL_ADD_04_Qs_All[[#This Row],[Required?]]="No", TBL_ADD_04_Qs_All[[#This Row],[Section]]="IntSV", TBL_ADD_04_Qs_All[[#This Row],[Question / Sub-question]]="Not used"), "-", "")</f>
        <v>-</v>
      </c>
      <c r="F291" s="427" t="str">
        <f>IF(OR(TBL_ADD_04_Qs_All[[#This Row],[Required?]]="No", TBL_ADD_04_Qs_All[[#This Row],[Section]]="IntSV", TBL_ADD_04_Qs_All[[#This Row],[Question / Sub-question]]="Not used"), "-", IF(TBL_ADD_04_Qs_All[[#This Row],[Type]]="Question", TBL_ADD_04_Qs_All[[#This Row],[No.subs]]*500, "-"))</f>
        <v>-</v>
      </c>
      <c r="G29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1" s="426" t="str">
        <f t="array" ref="I29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1" s="424" t="s">
        <v>332</v>
      </c>
      <c r="K291" s="426" t="s">
        <v>1325</v>
      </c>
      <c r="L291" s="428" t="s">
        <v>576</v>
      </c>
      <c r="M291" s="426" t="s">
        <v>2038</v>
      </c>
      <c r="N29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2" spans="1:15">
      <c r="A292" s="424" t="str">
        <f>IF(TBL_ADD_04_Qs_All[[#This Row],[Type]]="Question", K293, IF(TBL_ADD_04_Qs_All[[#This Row],[Sub_No]]="N/A", "-", CONCATENATE(TBL_ADD_04_Qs_All[[#This Row],[Q_No]], TBL_ADD_04_Qs_All[[#This Row],[Sub_No]])))</f>
        <v>Q5.3.10</v>
      </c>
      <c r="B292" s="424" t="s">
        <v>152</v>
      </c>
      <c r="C29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2" s="426" t="str">
        <f>IF(OR(TBL_ADD_04_Qs_All[[#This Row],[Type]]="Overview", TBL_ADD_04_Qs_All[[#This Row],[Type]]="Sub-question", TBL_ADD_04_Qs_All[[#This Row],[Required?]]="No", TBL_ADD_04_Qs_All[[#This Row],[Section]]="IntSV", TBL_ADD_04_Qs_All[[#This Row],[Question / Sub-question]]="Not used"), "-", "")</f>
        <v>-</v>
      </c>
      <c r="E292" s="425" t="str">
        <f>IF(OR(TBL_ADD_04_Qs_All[[#This Row],[Type]]="Overview", TBL_ADD_04_Qs_All[[#This Row],[Type]]="Sub-question", TBL_ADD_04_Qs_All[[#This Row],[Required?]]="No", TBL_ADD_04_Qs_All[[#This Row],[Section]]="IntSV", TBL_ADD_04_Qs_All[[#This Row],[Question / Sub-question]]="Not used"), "-", "")</f>
        <v>-</v>
      </c>
      <c r="F292" s="427" t="str">
        <f>IF(OR(TBL_ADD_04_Qs_All[[#This Row],[Required?]]="No", TBL_ADD_04_Qs_All[[#This Row],[Section]]="IntSV", TBL_ADD_04_Qs_All[[#This Row],[Question / Sub-question]]="Not used"), "-", IF(TBL_ADD_04_Qs_All[[#This Row],[Type]]="Question", TBL_ADD_04_Qs_All[[#This Row],[No.subs]]*500, "-"))</f>
        <v>-</v>
      </c>
      <c r="G29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2" s="426" t="str">
        <f t="array" ref="I29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2" s="424" t="s">
        <v>332</v>
      </c>
      <c r="K292" s="426" t="s">
        <v>1325</v>
      </c>
      <c r="L292" s="428" t="s">
        <v>577</v>
      </c>
      <c r="M292" s="426" t="s">
        <v>2038</v>
      </c>
      <c r="N29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3" spans="1:15" ht="13">
      <c r="A293" s="424" t="str">
        <f>IF(TBL_ADD_04_Qs_All[[#This Row],[Type]]="Question", K294, IF(TBL_ADD_04_Qs_All[[#This Row],[Sub_No]]="N/A", "-", CONCATENATE(TBL_ADD_04_Qs_All[[#This Row],[Q_No]], TBL_ADD_04_Qs_All[[#This Row],[Sub_No]])))</f>
        <v>Q5.4</v>
      </c>
      <c r="B293" s="424" t="s">
        <v>152</v>
      </c>
      <c r="C29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293" s="426" t="str">
        <f>IF(OR(TBL_ADD_04_Qs_All[[#This Row],[Type]]="Overview", TBL_ADD_04_Qs_All[[#This Row],[Type]]="Sub-question", TBL_ADD_04_Qs_All[[#This Row],[Required?]]="No", TBL_ADD_04_Qs_All[[#This Row],[Section]]="IntSV", TBL_ADD_04_Qs_All[[#This Row],[Question / Sub-question]]="Not used"), "-", "")</f>
        <v>-</v>
      </c>
      <c r="E293" s="425" t="str">
        <f>IF(OR(TBL_ADD_04_Qs_All[[#This Row],[Type]]="Overview", TBL_ADD_04_Qs_All[[#This Row],[Type]]="Sub-question", TBL_ADD_04_Qs_All[[#This Row],[Required?]]="No", TBL_ADD_04_Qs_All[[#This Row],[Section]]="IntSV", TBL_ADD_04_Qs_All[[#This Row],[Question / Sub-question]]="Not used"), "-", "")</f>
        <v>-</v>
      </c>
      <c r="F293" s="427" t="str">
        <f>IF(OR(TBL_ADD_04_Qs_All[[#This Row],[Required?]]="No", TBL_ADD_04_Qs_All[[#This Row],[Section]]="IntSV", TBL_ADD_04_Qs_All[[#This Row],[Question / Sub-question]]="Not used"), "-", IF(TBL_ADD_04_Qs_All[[#This Row],[Type]]="Question", TBL_ADD_04_Qs_All[[#This Row],[No.subs]]*500, "-"))</f>
        <v>-</v>
      </c>
      <c r="G29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3" s="426" t="str">
        <f t="array" ref="I29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3" s="424" t="s">
        <v>146</v>
      </c>
      <c r="K293" s="426" t="s">
        <v>24</v>
      </c>
      <c r="L293" s="426" t="s">
        <v>24</v>
      </c>
      <c r="M293" s="426" t="s">
        <v>2038</v>
      </c>
      <c r="N29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4" spans="1:15">
      <c r="A294" s="424" t="str">
        <f>IF(TBL_ADD_04_Qs_All[[#This Row],[Type]]="Question", K295, IF(TBL_ADD_04_Qs_All[[#This Row],[Sub_No]]="N/A", "-", CONCATENATE(TBL_ADD_04_Qs_All[[#This Row],[Q_No]], TBL_ADD_04_Qs_All[[#This Row],[Sub_No]])))</f>
        <v>Q5.4.1</v>
      </c>
      <c r="B294" s="424" t="s">
        <v>152</v>
      </c>
      <c r="C29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4" s="426" t="str">
        <f>IF(OR(TBL_ADD_04_Qs_All[[#This Row],[Type]]="Overview", TBL_ADD_04_Qs_All[[#This Row],[Type]]="Sub-question", TBL_ADD_04_Qs_All[[#This Row],[Required?]]="No", TBL_ADD_04_Qs_All[[#This Row],[Section]]="IntSV", TBL_ADD_04_Qs_All[[#This Row],[Question / Sub-question]]="Not used"), "-", "")</f>
        <v>-</v>
      </c>
      <c r="E294" s="425" t="str">
        <f>IF(OR(TBL_ADD_04_Qs_All[[#This Row],[Type]]="Overview", TBL_ADD_04_Qs_All[[#This Row],[Type]]="Sub-question", TBL_ADD_04_Qs_All[[#This Row],[Required?]]="No", TBL_ADD_04_Qs_All[[#This Row],[Section]]="IntSV", TBL_ADD_04_Qs_All[[#This Row],[Question / Sub-question]]="Not used"), "-", "")</f>
        <v>-</v>
      </c>
      <c r="F294" s="427" t="str">
        <f>IF(OR(TBL_ADD_04_Qs_All[[#This Row],[Required?]]="No", TBL_ADD_04_Qs_All[[#This Row],[Section]]="IntSV", TBL_ADD_04_Qs_All[[#This Row],[Question / Sub-question]]="Not used"), "-", IF(TBL_ADD_04_Qs_All[[#This Row],[Type]]="Question", TBL_ADD_04_Qs_All[[#This Row],[No.subs]]*500, "-"))</f>
        <v>-</v>
      </c>
      <c r="G29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4" s="426" t="str">
        <f t="array" ref="I29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4" s="424" t="s">
        <v>332</v>
      </c>
      <c r="K294" s="426" t="s">
        <v>1326</v>
      </c>
      <c r="L294" s="428" t="s">
        <v>568</v>
      </c>
      <c r="M294" s="426" t="s">
        <v>2038</v>
      </c>
      <c r="N29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5" spans="1:15">
      <c r="A295" s="424" t="str">
        <f>IF(TBL_ADD_04_Qs_All[[#This Row],[Type]]="Question", K296, IF(TBL_ADD_04_Qs_All[[#This Row],[Sub_No]]="N/A", "-", CONCATENATE(TBL_ADD_04_Qs_All[[#This Row],[Q_No]], TBL_ADD_04_Qs_All[[#This Row],[Sub_No]])))</f>
        <v>Q5.4.2</v>
      </c>
      <c r="B295" s="424" t="s">
        <v>152</v>
      </c>
      <c r="C29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5" s="426" t="str">
        <f>IF(OR(TBL_ADD_04_Qs_All[[#This Row],[Type]]="Overview", TBL_ADD_04_Qs_All[[#This Row],[Type]]="Sub-question", TBL_ADD_04_Qs_All[[#This Row],[Required?]]="No", TBL_ADD_04_Qs_All[[#This Row],[Section]]="IntSV", TBL_ADD_04_Qs_All[[#This Row],[Question / Sub-question]]="Not used"), "-", "")</f>
        <v>-</v>
      </c>
      <c r="E295" s="425" t="str">
        <f>IF(OR(TBL_ADD_04_Qs_All[[#This Row],[Type]]="Overview", TBL_ADD_04_Qs_All[[#This Row],[Type]]="Sub-question", TBL_ADD_04_Qs_All[[#This Row],[Required?]]="No", TBL_ADD_04_Qs_All[[#This Row],[Section]]="IntSV", TBL_ADD_04_Qs_All[[#This Row],[Question / Sub-question]]="Not used"), "-", "")</f>
        <v>-</v>
      </c>
      <c r="F295" s="427" t="str">
        <f>IF(OR(TBL_ADD_04_Qs_All[[#This Row],[Required?]]="No", TBL_ADD_04_Qs_All[[#This Row],[Section]]="IntSV", TBL_ADD_04_Qs_All[[#This Row],[Question / Sub-question]]="Not used"), "-", IF(TBL_ADD_04_Qs_All[[#This Row],[Type]]="Question", TBL_ADD_04_Qs_All[[#This Row],[No.subs]]*500, "-"))</f>
        <v>-</v>
      </c>
      <c r="G29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5" s="426" t="str">
        <f t="array" ref="I29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5" s="424" t="s">
        <v>332</v>
      </c>
      <c r="K295" s="426" t="s">
        <v>1326</v>
      </c>
      <c r="L295" s="428" t="s">
        <v>572</v>
      </c>
      <c r="M295" s="426" t="s">
        <v>2038</v>
      </c>
      <c r="N29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6" spans="1:15">
      <c r="A296" s="424" t="str">
        <f>IF(TBL_ADD_04_Qs_All[[#This Row],[Type]]="Question", K297, IF(TBL_ADD_04_Qs_All[[#This Row],[Sub_No]]="N/A", "-", CONCATENATE(TBL_ADD_04_Qs_All[[#This Row],[Q_No]], TBL_ADD_04_Qs_All[[#This Row],[Sub_No]])))</f>
        <v>Q5.4.3</v>
      </c>
      <c r="B296" s="424" t="s">
        <v>152</v>
      </c>
      <c r="C29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6" s="426" t="str">
        <f>IF(OR(TBL_ADD_04_Qs_All[[#This Row],[Type]]="Overview", TBL_ADD_04_Qs_All[[#This Row],[Type]]="Sub-question", TBL_ADD_04_Qs_All[[#This Row],[Required?]]="No", TBL_ADD_04_Qs_All[[#This Row],[Section]]="IntSV", TBL_ADD_04_Qs_All[[#This Row],[Question / Sub-question]]="Not used"), "-", "")</f>
        <v>-</v>
      </c>
      <c r="E296" s="425" t="str">
        <f>IF(OR(TBL_ADD_04_Qs_All[[#This Row],[Type]]="Overview", TBL_ADD_04_Qs_All[[#This Row],[Type]]="Sub-question", TBL_ADD_04_Qs_All[[#This Row],[Required?]]="No", TBL_ADD_04_Qs_All[[#This Row],[Section]]="IntSV", TBL_ADD_04_Qs_All[[#This Row],[Question / Sub-question]]="Not used"), "-", "")</f>
        <v>-</v>
      </c>
      <c r="F296" s="427" t="str">
        <f>IF(OR(TBL_ADD_04_Qs_All[[#This Row],[Required?]]="No", TBL_ADD_04_Qs_All[[#This Row],[Section]]="IntSV", TBL_ADD_04_Qs_All[[#This Row],[Question / Sub-question]]="Not used"), "-", IF(TBL_ADD_04_Qs_All[[#This Row],[Type]]="Question", TBL_ADD_04_Qs_All[[#This Row],[No.subs]]*500, "-"))</f>
        <v>-</v>
      </c>
      <c r="G29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6" s="426" t="str">
        <f t="array" ref="I29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6" s="424" t="s">
        <v>332</v>
      </c>
      <c r="K296" s="426" t="s">
        <v>1326</v>
      </c>
      <c r="L296" s="428" t="s">
        <v>569</v>
      </c>
      <c r="M296" s="426" t="s">
        <v>2038</v>
      </c>
      <c r="N29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7" spans="1:15">
      <c r="A297" s="424" t="str">
        <f>IF(TBL_ADD_04_Qs_All[[#This Row],[Type]]="Question", K298, IF(TBL_ADD_04_Qs_All[[#This Row],[Sub_No]]="N/A", "-", CONCATENATE(TBL_ADD_04_Qs_All[[#This Row],[Q_No]], TBL_ADD_04_Qs_All[[#This Row],[Sub_No]])))</f>
        <v>Q5.4.4</v>
      </c>
      <c r="B297" s="424" t="s">
        <v>152</v>
      </c>
      <c r="C29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7" s="426" t="str">
        <f>IF(OR(TBL_ADD_04_Qs_All[[#This Row],[Type]]="Overview", TBL_ADD_04_Qs_All[[#This Row],[Type]]="Sub-question", TBL_ADD_04_Qs_All[[#This Row],[Required?]]="No", TBL_ADD_04_Qs_All[[#This Row],[Section]]="IntSV", TBL_ADD_04_Qs_All[[#This Row],[Question / Sub-question]]="Not used"), "-", "")</f>
        <v>-</v>
      </c>
      <c r="E297" s="425" t="str">
        <f>IF(OR(TBL_ADD_04_Qs_All[[#This Row],[Type]]="Overview", TBL_ADD_04_Qs_All[[#This Row],[Type]]="Sub-question", TBL_ADD_04_Qs_All[[#This Row],[Required?]]="No", TBL_ADD_04_Qs_All[[#This Row],[Section]]="IntSV", TBL_ADD_04_Qs_All[[#This Row],[Question / Sub-question]]="Not used"), "-", "")</f>
        <v>-</v>
      </c>
      <c r="F297" s="427" t="str">
        <f>IF(OR(TBL_ADD_04_Qs_All[[#This Row],[Required?]]="No", TBL_ADD_04_Qs_All[[#This Row],[Section]]="IntSV", TBL_ADD_04_Qs_All[[#This Row],[Question / Sub-question]]="Not used"), "-", IF(TBL_ADD_04_Qs_All[[#This Row],[Type]]="Question", TBL_ADD_04_Qs_All[[#This Row],[No.subs]]*500, "-"))</f>
        <v>-</v>
      </c>
      <c r="G29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7" s="426" t="str">
        <f t="array" ref="I29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7" s="424" t="s">
        <v>332</v>
      </c>
      <c r="K297" s="426" t="s">
        <v>1326</v>
      </c>
      <c r="L297" s="428" t="s">
        <v>570</v>
      </c>
      <c r="M297" s="426" t="s">
        <v>2038</v>
      </c>
      <c r="N29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8" spans="1:15">
      <c r="A298" s="424" t="str">
        <f>IF(TBL_ADD_04_Qs_All[[#This Row],[Type]]="Question", K299, IF(TBL_ADD_04_Qs_All[[#This Row],[Sub_No]]="N/A", "-", CONCATENATE(TBL_ADD_04_Qs_All[[#This Row],[Q_No]], TBL_ADD_04_Qs_All[[#This Row],[Sub_No]])))</f>
        <v>Q5.4.5</v>
      </c>
      <c r="B298" s="424" t="s">
        <v>152</v>
      </c>
      <c r="C29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8" s="426" t="str">
        <f>IF(OR(TBL_ADD_04_Qs_All[[#This Row],[Type]]="Overview", TBL_ADD_04_Qs_All[[#This Row],[Type]]="Sub-question", TBL_ADD_04_Qs_All[[#This Row],[Required?]]="No", TBL_ADD_04_Qs_All[[#This Row],[Section]]="IntSV", TBL_ADD_04_Qs_All[[#This Row],[Question / Sub-question]]="Not used"), "-", "")</f>
        <v>-</v>
      </c>
      <c r="E298" s="425" t="str">
        <f>IF(OR(TBL_ADD_04_Qs_All[[#This Row],[Type]]="Overview", TBL_ADD_04_Qs_All[[#This Row],[Type]]="Sub-question", TBL_ADD_04_Qs_All[[#This Row],[Required?]]="No", TBL_ADD_04_Qs_All[[#This Row],[Section]]="IntSV", TBL_ADD_04_Qs_All[[#This Row],[Question / Sub-question]]="Not used"), "-", "")</f>
        <v>-</v>
      </c>
      <c r="F298" s="427" t="str">
        <f>IF(OR(TBL_ADD_04_Qs_All[[#This Row],[Required?]]="No", TBL_ADD_04_Qs_All[[#This Row],[Section]]="IntSV", TBL_ADD_04_Qs_All[[#This Row],[Question / Sub-question]]="Not used"), "-", IF(TBL_ADD_04_Qs_All[[#This Row],[Type]]="Question", TBL_ADD_04_Qs_All[[#This Row],[No.subs]]*500, "-"))</f>
        <v>-</v>
      </c>
      <c r="G29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8" s="426" t="str">
        <f t="array" ref="I29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8" s="424" t="s">
        <v>332</v>
      </c>
      <c r="K298" s="426" t="s">
        <v>1326</v>
      </c>
      <c r="L298" s="428" t="s">
        <v>571</v>
      </c>
      <c r="M298" s="426" t="s">
        <v>2038</v>
      </c>
      <c r="N29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299" spans="1:15">
      <c r="A299" s="424" t="str">
        <f>IF(TBL_ADD_04_Qs_All[[#This Row],[Type]]="Question", K300, IF(TBL_ADD_04_Qs_All[[#This Row],[Sub_No]]="N/A", "-", CONCATENATE(TBL_ADD_04_Qs_All[[#This Row],[Q_No]], TBL_ADD_04_Qs_All[[#This Row],[Sub_No]])))</f>
        <v>Q5.4.6</v>
      </c>
      <c r="B299" s="424" t="s">
        <v>152</v>
      </c>
      <c r="C29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299" s="426" t="str">
        <f>IF(OR(TBL_ADD_04_Qs_All[[#This Row],[Type]]="Overview", TBL_ADD_04_Qs_All[[#This Row],[Type]]="Sub-question", TBL_ADD_04_Qs_All[[#This Row],[Required?]]="No", TBL_ADD_04_Qs_All[[#This Row],[Section]]="IntSV", TBL_ADD_04_Qs_All[[#This Row],[Question / Sub-question]]="Not used"), "-", "")</f>
        <v>-</v>
      </c>
      <c r="E299" s="425" t="str">
        <f>IF(OR(TBL_ADD_04_Qs_All[[#This Row],[Type]]="Overview", TBL_ADD_04_Qs_All[[#This Row],[Type]]="Sub-question", TBL_ADD_04_Qs_All[[#This Row],[Required?]]="No", TBL_ADD_04_Qs_All[[#This Row],[Section]]="IntSV", TBL_ADD_04_Qs_All[[#This Row],[Question / Sub-question]]="Not used"), "-", "")</f>
        <v>-</v>
      </c>
      <c r="F299" s="427" t="str">
        <f>IF(OR(TBL_ADD_04_Qs_All[[#This Row],[Required?]]="No", TBL_ADD_04_Qs_All[[#This Row],[Section]]="IntSV", TBL_ADD_04_Qs_All[[#This Row],[Question / Sub-question]]="Not used"), "-", IF(TBL_ADD_04_Qs_All[[#This Row],[Type]]="Question", TBL_ADD_04_Qs_All[[#This Row],[No.subs]]*500, "-"))</f>
        <v>-</v>
      </c>
      <c r="G29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29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299" s="426" t="str">
        <f t="array" ref="I29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299" s="424" t="s">
        <v>332</v>
      </c>
      <c r="K299" s="426" t="s">
        <v>1326</v>
      </c>
      <c r="L299" s="428" t="s">
        <v>573</v>
      </c>
      <c r="M299" s="426" t="s">
        <v>2038</v>
      </c>
      <c r="N29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29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0" spans="1:15">
      <c r="A300" s="424" t="str">
        <f>IF(TBL_ADD_04_Qs_All[[#This Row],[Type]]="Question", K301, IF(TBL_ADD_04_Qs_All[[#This Row],[Sub_No]]="N/A", "-", CONCATENATE(TBL_ADD_04_Qs_All[[#This Row],[Q_No]], TBL_ADD_04_Qs_All[[#This Row],[Sub_No]])))</f>
        <v>Q5.4.7</v>
      </c>
      <c r="B300" s="424" t="s">
        <v>152</v>
      </c>
      <c r="C30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0" s="426" t="str">
        <f>IF(OR(TBL_ADD_04_Qs_All[[#This Row],[Type]]="Overview", TBL_ADD_04_Qs_All[[#This Row],[Type]]="Sub-question", TBL_ADD_04_Qs_All[[#This Row],[Required?]]="No", TBL_ADD_04_Qs_All[[#This Row],[Section]]="IntSV", TBL_ADD_04_Qs_All[[#This Row],[Question / Sub-question]]="Not used"), "-", "")</f>
        <v>-</v>
      </c>
      <c r="E300" s="425" t="str">
        <f>IF(OR(TBL_ADD_04_Qs_All[[#This Row],[Type]]="Overview", TBL_ADD_04_Qs_All[[#This Row],[Type]]="Sub-question", TBL_ADD_04_Qs_All[[#This Row],[Required?]]="No", TBL_ADD_04_Qs_All[[#This Row],[Section]]="IntSV", TBL_ADD_04_Qs_All[[#This Row],[Question / Sub-question]]="Not used"), "-", "")</f>
        <v>-</v>
      </c>
      <c r="F300" s="427" t="str">
        <f>IF(OR(TBL_ADD_04_Qs_All[[#This Row],[Required?]]="No", TBL_ADD_04_Qs_All[[#This Row],[Section]]="IntSV", TBL_ADD_04_Qs_All[[#This Row],[Question / Sub-question]]="Not used"), "-", IF(TBL_ADD_04_Qs_All[[#This Row],[Type]]="Question", TBL_ADD_04_Qs_All[[#This Row],[No.subs]]*500, "-"))</f>
        <v>-</v>
      </c>
      <c r="G30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0" s="426" t="str">
        <f t="array" ref="I30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0" s="424" t="s">
        <v>332</v>
      </c>
      <c r="K300" s="426" t="s">
        <v>1326</v>
      </c>
      <c r="L300" s="428" t="s">
        <v>574</v>
      </c>
      <c r="M300" s="426" t="s">
        <v>2038</v>
      </c>
      <c r="N30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1" spans="1:15">
      <c r="A301" s="424" t="str">
        <f>IF(TBL_ADD_04_Qs_All[[#This Row],[Type]]="Question", K302, IF(TBL_ADD_04_Qs_All[[#This Row],[Sub_No]]="N/A", "-", CONCATENATE(TBL_ADD_04_Qs_All[[#This Row],[Q_No]], TBL_ADD_04_Qs_All[[#This Row],[Sub_No]])))</f>
        <v>Q5.4.8</v>
      </c>
      <c r="B301" s="424" t="s">
        <v>152</v>
      </c>
      <c r="C30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1" s="426" t="str">
        <f>IF(OR(TBL_ADD_04_Qs_All[[#This Row],[Type]]="Overview", TBL_ADD_04_Qs_All[[#This Row],[Type]]="Sub-question", TBL_ADD_04_Qs_All[[#This Row],[Required?]]="No", TBL_ADD_04_Qs_All[[#This Row],[Section]]="IntSV", TBL_ADD_04_Qs_All[[#This Row],[Question / Sub-question]]="Not used"), "-", "")</f>
        <v>-</v>
      </c>
      <c r="E301" s="425" t="str">
        <f>IF(OR(TBL_ADD_04_Qs_All[[#This Row],[Type]]="Overview", TBL_ADD_04_Qs_All[[#This Row],[Type]]="Sub-question", TBL_ADD_04_Qs_All[[#This Row],[Required?]]="No", TBL_ADD_04_Qs_All[[#This Row],[Section]]="IntSV", TBL_ADD_04_Qs_All[[#This Row],[Question / Sub-question]]="Not used"), "-", "")</f>
        <v>-</v>
      </c>
      <c r="F301" s="427" t="str">
        <f>IF(OR(TBL_ADD_04_Qs_All[[#This Row],[Required?]]="No", TBL_ADD_04_Qs_All[[#This Row],[Section]]="IntSV", TBL_ADD_04_Qs_All[[#This Row],[Question / Sub-question]]="Not used"), "-", IF(TBL_ADD_04_Qs_All[[#This Row],[Type]]="Question", TBL_ADD_04_Qs_All[[#This Row],[No.subs]]*500, "-"))</f>
        <v>-</v>
      </c>
      <c r="G30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1" s="426" t="str">
        <f t="array" ref="I30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1" s="424" t="s">
        <v>332</v>
      </c>
      <c r="K301" s="426" t="s">
        <v>1326</v>
      </c>
      <c r="L301" s="428" t="s">
        <v>575</v>
      </c>
      <c r="M301" s="426" t="s">
        <v>2038</v>
      </c>
      <c r="N30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2" spans="1:15">
      <c r="A302" s="424" t="str">
        <f>IF(TBL_ADD_04_Qs_All[[#This Row],[Type]]="Question", K303, IF(TBL_ADD_04_Qs_All[[#This Row],[Sub_No]]="N/A", "-", CONCATENATE(TBL_ADD_04_Qs_All[[#This Row],[Q_No]], TBL_ADD_04_Qs_All[[#This Row],[Sub_No]])))</f>
        <v>Q5.4.9</v>
      </c>
      <c r="B302" s="424" t="s">
        <v>152</v>
      </c>
      <c r="C30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2" s="426" t="str">
        <f>IF(OR(TBL_ADD_04_Qs_All[[#This Row],[Type]]="Overview", TBL_ADD_04_Qs_All[[#This Row],[Type]]="Sub-question", TBL_ADD_04_Qs_All[[#This Row],[Required?]]="No", TBL_ADD_04_Qs_All[[#This Row],[Section]]="IntSV", TBL_ADD_04_Qs_All[[#This Row],[Question / Sub-question]]="Not used"), "-", "")</f>
        <v>-</v>
      </c>
      <c r="E302" s="425" t="str">
        <f>IF(OR(TBL_ADD_04_Qs_All[[#This Row],[Type]]="Overview", TBL_ADD_04_Qs_All[[#This Row],[Type]]="Sub-question", TBL_ADD_04_Qs_All[[#This Row],[Required?]]="No", TBL_ADD_04_Qs_All[[#This Row],[Section]]="IntSV", TBL_ADD_04_Qs_All[[#This Row],[Question / Sub-question]]="Not used"), "-", "")</f>
        <v>-</v>
      </c>
      <c r="F302" s="427" t="str">
        <f>IF(OR(TBL_ADD_04_Qs_All[[#This Row],[Required?]]="No", TBL_ADD_04_Qs_All[[#This Row],[Section]]="IntSV", TBL_ADD_04_Qs_All[[#This Row],[Question / Sub-question]]="Not used"), "-", IF(TBL_ADD_04_Qs_All[[#This Row],[Type]]="Question", TBL_ADD_04_Qs_All[[#This Row],[No.subs]]*500, "-"))</f>
        <v>-</v>
      </c>
      <c r="G30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2" s="426" t="str">
        <f t="array" ref="I30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2" s="424" t="s">
        <v>332</v>
      </c>
      <c r="K302" s="426" t="s">
        <v>1326</v>
      </c>
      <c r="L302" s="428" t="s">
        <v>576</v>
      </c>
      <c r="M302" s="426" t="s">
        <v>2038</v>
      </c>
      <c r="N30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3" spans="1:15">
      <c r="A303" s="424" t="str">
        <f>IF(TBL_ADD_04_Qs_All[[#This Row],[Type]]="Question", K304, IF(TBL_ADD_04_Qs_All[[#This Row],[Sub_No]]="N/A", "-", CONCATENATE(TBL_ADD_04_Qs_All[[#This Row],[Q_No]], TBL_ADD_04_Qs_All[[#This Row],[Sub_No]])))</f>
        <v>Q5.4.10</v>
      </c>
      <c r="B303" s="424" t="s">
        <v>152</v>
      </c>
      <c r="C30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3" s="426" t="str">
        <f>IF(OR(TBL_ADD_04_Qs_All[[#This Row],[Type]]="Overview", TBL_ADD_04_Qs_All[[#This Row],[Type]]="Sub-question", TBL_ADD_04_Qs_All[[#This Row],[Required?]]="No", TBL_ADD_04_Qs_All[[#This Row],[Section]]="IntSV", TBL_ADD_04_Qs_All[[#This Row],[Question / Sub-question]]="Not used"), "-", "")</f>
        <v>-</v>
      </c>
      <c r="E303" s="425" t="str">
        <f>IF(OR(TBL_ADD_04_Qs_All[[#This Row],[Type]]="Overview", TBL_ADD_04_Qs_All[[#This Row],[Type]]="Sub-question", TBL_ADD_04_Qs_All[[#This Row],[Required?]]="No", TBL_ADD_04_Qs_All[[#This Row],[Section]]="IntSV", TBL_ADD_04_Qs_All[[#This Row],[Question / Sub-question]]="Not used"), "-", "")</f>
        <v>-</v>
      </c>
      <c r="F303" s="427" t="str">
        <f>IF(OR(TBL_ADD_04_Qs_All[[#This Row],[Required?]]="No", TBL_ADD_04_Qs_All[[#This Row],[Section]]="IntSV", TBL_ADD_04_Qs_All[[#This Row],[Question / Sub-question]]="Not used"), "-", IF(TBL_ADD_04_Qs_All[[#This Row],[Type]]="Question", TBL_ADD_04_Qs_All[[#This Row],[No.subs]]*500, "-"))</f>
        <v>-</v>
      </c>
      <c r="G30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3" s="426" t="str">
        <f t="array" ref="I30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3" s="424" t="s">
        <v>332</v>
      </c>
      <c r="K303" s="426" t="s">
        <v>1326</v>
      </c>
      <c r="L303" s="428" t="s">
        <v>577</v>
      </c>
      <c r="M303" s="426" t="s">
        <v>2038</v>
      </c>
      <c r="N30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4" spans="1:15" ht="13">
      <c r="A304" s="424" t="str">
        <f>IF(TBL_ADD_04_Qs_All[[#This Row],[Type]]="Question", K305, IF(TBL_ADD_04_Qs_All[[#This Row],[Sub_No]]="N/A", "-", CONCATENATE(TBL_ADD_04_Qs_All[[#This Row],[Q_No]], TBL_ADD_04_Qs_All[[#This Row],[Sub_No]])))</f>
        <v>Q5.5</v>
      </c>
      <c r="B304" s="424" t="s">
        <v>152</v>
      </c>
      <c r="C304"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Not used</v>
      </c>
      <c r="D304" s="426" t="str">
        <f>IF(OR(TBL_ADD_04_Qs_All[[#This Row],[Type]]="Overview", TBL_ADD_04_Qs_All[[#This Row],[Type]]="Sub-question", TBL_ADD_04_Qs_All[[#This Row],[Required?]]="No", TBL_ADD_04_Qs_All[[#This Row],[Section]]="IntSV", TBL_ADD_04_Qs_All[[#This Row],[Question / Sub-question]]="Not used"), "-", "")</f>
        <v>-</v>
      </c>
      <c r="E304" s="425" t="str">
        <f>IF(OR(TBL_ADD_04_Qs_All[[#This Row],[Type]]="Overview", TBL_ADD_04_Qs_All[[#This Row],[Type]]="Sub-question", TBL_ADD_04_Qs_All[[#This Row],[Required?]]="No", TBL_ADD_04_Qs_All[[#This Row],[Section]]="IntSV", TBL_ADD_04_Qs_All[[#This Row],[Question / Sub-question]]="Not used"), "-", "")</f>
        <v>-</v>
      </c>
      <c r="F304" s="427" t="str">
        <f>IF(OR(TBL_ADD_04_Qs_All[[#This Row],[Required?]]="No", TBL_ADD_04_Qs_All[[#This Row],[Section]]="IntSV", TBL_ADD_04_Qs_All[[#This Row],[Question / Sub-question]]="Not used"), "-", IF(TBL_ADD_04_Qs_All[[#This Row],[Type]]="Question", TBL_ADD_04_Qs_All[[#This Row],[No.subs]]*500, "-"))</f>
        <v>-</v>
      </c>
      <c r="G304"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4" s="426" t="str">
        <f t="array" ref="I30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4" s="424" t="s">
        <v>146</v>
      </c>
      <c r="K304" s="426" t="s">
        <v>24</v>
      </c>
      <c r="L304" s="426" t="s">
        <v>24</v>
      </c>
      <c r="M304" s="426" t="s">
        <v>2038</v>
      </c>
      <c r="N30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4"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5" spans="1:15">
      <c r="A305" s="424" t="str">
        <f>IF(TBL_ADD_04_Qs_All[[#This Row],[Type]]="Question", K306, IF(TBL_ADD_04_Qs_All[[#This Row],[Sub_No]]="N/A", "-", CONCATENATE(TBL_ADD_04_Qs_All[[#This Row],[Q_No]], TBL_ADD_04_Qs_All[[#This Row],[Sub_No]])))</f>
        <v>Q5.5.1</v>
      </c>
      <c r="B305" s="424" t="s">
        <v>152</v>
      </c>
      <c r="C305"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5" s="426" t="str">
        <f>IF(OR(TBL_ADD_04_Qs_All[[#This Row],[Type]]="Overview", TBL_ADD_04_Qs_All[[#This Row],[Type]]="Sub-question", TBL_ADD_04_Qs_All[[#This Row],[Required?]]="No", TBL_ADD_04_Qs_All[[#This Row],[Section]]="IntSV", TBL_ADD_04_Qs_All[[#This Row],[Question / Sub-question]]="Not used"), "-", "")</f>
        <v>-</v>
      </c>
      <c r="E305" s="425" t="str">
        <f>IF(OR(TBL_ADD_04_Qs_All[[#This Row],[Type]]="Overview", TBL_ADD_04_Qs_All[[#This Row],[Type]]="Sub-question", TBL_ADD_04_Qs_All[[#This Row],[Required?]]="No", TBL_ADD_04_Qs_All[[#This Row],[Section]]="IntSV", TBL_ADD_04_Qs_All[[#This Row],[Question / Sub-question]]="Not used"), "-", "")</f>
        <v>-</v>
      </c>
      <c r="F305" s="427" t="str">
        <f>IF(OR(TBL_ADD_04_Qs_All[[#This Row],[Required?]]="No", TBL_ADD_04_Qs_All[[#This Row],[Section]]="IntSV", TBL_ADD_04_Qs_All[[#This Row],[Question / Sub-question]]="Not used"), "-", IF(TBL_ADD_04_Qs_All[[#This Row],[Type]]="Question", TBL_ADD_04_Qs_All[[#This Row],[No.subs]]*500, "-"))</f>
        <v>-</v>
      </c>
      <c r="G305"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5"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5" s="426" t="str">
        <f t="array" ref="I305">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5" s="424" t="s">
        <v>332</v>
      </c>
      <c r="K305" s="426" t="s">
        <v>1327</v>
      </c>
      <c r="L305" s="428" t="s">
        <v>568</v>
      </c>
      <c r="M305" s="426" t="s">
        <v>2038</v>
      </c>
      <c r="N305"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5"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6" spans="1:15">
      <c r="A306" s="424" t="str">
        <f>IF(TBL_ADD_04_Qs_All[[#This Row],[Type]]="Question", K307, IF(TBL_ADD_04_Qs_All[[#This Row],[Sub_No]]="N/A", "-", CONCATENATE(TBL_ADD_04_Qs_All[[#This Row],[Q_No]], TBL_ADD_04_Qs_All[[#This Row],[Sub_No]])))</f>
        <v>Q5.5.2</v>
      </c>
      <c r="B306" s="424" t="s">
        <v>152</v>
      </c>
      <c r="C306"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6" s="426" t="str">
        <f>IF(OR(TBL_ADD_04_Qs_All[[#This Row],[Type]]="Overview", TBL_ADD_04_Qs_All[[#This Row],[Type]]="Sub-question", TBL_ADD_04_Qs_All[[#This Row],[Required?]]="No", TBL_ADD_04_Qs_All[[#This Row],[Section]]="IntSV", TBL_ADD_04_Qs_All[[#This Row],[Question / Sub-question]]="Not used"), "-", "")</f>
        <v>-</v>
      </c>
      <c r="E306" s="425" t="str">
        <f>IF(OR(TBL_ADD_04_Qs_All[[#This Row],[Type]]="Overview", TBL_ADD_04_Qs_All[[#This Row],[Type]]="Sub-question", TBL_ADD_04_Qs_All[[#This Row],[Required?]]="No", TBL_ADD_04_Qs_All[[#This Row],[Section]]="IntSV", TBL_ADD_04_Qs_All[[#This Row],[Question / Sub-question]]="Not used"), "-", "")</f>
        <v>-</v>
      </c>
      <c r="F306" s="427" t="str">
        <f>IF(OR(TBL_ADD_04_Qs_All[[#This Row],[Required?]]="No", TBL_ADD_04_Qs_All[[#This Row],[Section]]="IntSV", TBL_ADD_04_Qs_All[[#This Row],[Question / Sub-question]]="Not used"), "-", IF(TBL_ADD_04_Qs_All[[#This Row],[Type]]="Question", TBL_ADD_04_Qs_All[[#This Row],[No.subs]]*500, "-"))</f>
        <v>-</v>
      </c>
      <c r="G306"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6"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6" s="426" t="str">
        <f t="array" ref="I306">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6" s="424" t="s">
        <v>332</v>
      </c>
      <c r="K306" s="426" t="s">
        <v>1327</v>
      </c>
      <c r="L306" s="428" t="s">
        <v>572</v>
      </c>
      <c r="M306" s="426" t="s">
        <v>2038</v>
      </c>
      <c r="N306"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6"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7" spans="1:15">
      <c r="A307" s="424" t="str">
        <f>IF(TBL_ADD_04_Qs_All[[#This Row],[Type]]="Question", K308, IF(TBL_ADD_04_Qs_All[[#This Row],[Sub_No]]="N/A", "-", CONCATENATE(TBL_ADD_04_Qs_All[[#This Row],[Q_No]], TBL_ADD_04_Qs_All[[#This Row],[Sub_No]])))</f>
        <v>Q5.5.3</v>
      </c>
      <c r="B307" s="424" t="s">
        <v>152</v>
      </c>
      <c r="C307"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7" s="426" t="str">
        <f>IF(OR(TBL_ADD_04_Qs_All[[#This Row],[Type]]="Overview", TBL_ADD_04_Qs_All[[#This Row],[Type]]="Sub-question", TBL_ADD_04_Qs_All[[#This Row],[Required?]]="No", TBL_ADD_04_Qs_All[[#This Row],[Section]]="IntSV", TBL_ADD_04_Qs_All[[#This Row],[Question / Sub-question]]="Not used"), "-", "")</f>
        <v>-</v>
      </c>
      <c r="E307" s="425" t="str">
        <f>IF(OR(TBL_ADD_04_Qs_All[[#This Row],[Type]]="Overview", TBL_ADD_04_Qs_All[[#This Row],[Type]]="Sub-question", TBL_ADD_04_Qs_All[[#This Row],[Required?]]="No", TBL_ADD_04_Qs_All[[#This Row],[Section]]="IntSV", TBL_ADD_04_Qs_All[[#This Row],[Question / Sub-question]]="Not used"), "-", "")</f>
        <v>-</v>
      </c>
      <c r="F307" s="427" t="str">
        <f>IF(OR(TBL_ADD_04_Qs_All[[#This Row],[Required?]]="No", TBL_ADD_04_Qs_All[[#This Row],[Section]]="IntSV", TBL_ADD_04_Qs_All[[#This Row],[Question / Sub-question]]="Not used"), "-", IF(TBL_ADD_04_Qs_All[[#This Row],[Type]]="Question", TBL_ADD_04_Qs_All[[#This Row],[No.subs]]*500, "-"))</f>
        <v>-</v>
      </c>
      <c r="G307"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7"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7" s="426" t="str">
        <f t="array" ref="I307">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7" s="424" t="s">
        <v>332</v>
      </c>
      <c r="K307" s="426" t="s">
        <v>1327</v>
      </c>
      <c r="L307" s="428" t="s">
        <v>569</v>
      </c>
      <c r="M307" s="426" t="s">
        <v>2038</v>
      </c>
      <c r="N307"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7"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8" spans="1:15">
      <c r="A308" s="424" t="str">
        <f>IF(TBL_ADD_04_Qs_All[[#This Row],[Type]]="Question", K309, IF(TBL_ADD_04_Qs_All[[#This Row],[Sub_No]]="N/A", "-", CONCATENATE(TBL_ADD_04_Qs_All[[#This Row],[Q_No]], TBL_ADD_04_Qs_All[[#This Row],[Sub_No]])))</f>
        <v>Q5.5.4</v>
      </c>
      <c r="B308" s="424" t="s">
        <v>152</v>
      </c>
      <c r="C308"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8" s="426" t="str">
        <f>IF(OR(TBL_ADD_04_Qs_All[[#This Row],[Type]]="Overview", TBL_ADD_04_Qs_All[[#This Row],[Type]]="Sub-question", TBL_ADD_04_Qs_All[[#This Row],[Required?]]="No", TBL_ADD_04_Qs_All[[#This Row],[Section]]="IntSV", TBL_ADD_04_Qs_All[[#This Row],[Question / Sub-question]]="Not used"), "-", "")</f>
        <v>-</v>
      </c>
      <c r="E308" s="425" t="str">
        <f>IF(OR(TBL_ADD_04_Qs_All[[#This Row],[Type]]="Overview", TBL_ADD_04_Qs_All[[#This Row],[Type]]="Sub-question", TBL_ADD_04_Qs_All[[#This Row],[Required?]]="No", TBL_ADD_04_Qs_All[[#This Row],[Section]]="IntSV", TBL_ADD_04_Qs_All[[#This Row],[Question / Sub-question]]="Not used"), "-", "")</f>
        <v>-</v>
      </c>
      <c r="F308" s="427" t="str">
        <f>IF(OR(TBL_ADD_04_Qs_All[[#This Row],[Required?]]="No", TBL_ADD_04_Qs_All[[#This Row],[Section]]="IntSV", TBL_ADD_04_Qs_All[[#This Row],[Question / Sub-question]]="Not used"), "-", IF(TBL_ADD_04_Qs_All[[#This Row],[Type]]="Question", TBL_ADD_04_Qs_All[[#This Row],[No.subs]]*500, "-"))</f>
        <v>-</v>
      </c>
      <c r="G308"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8"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8" s="426" t="str">
        <f t="array" ref="I308">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8" s="424" t="s">
        <v>332</v>
      </c>
      <c r="K308" s="426" t="s">
        <v>1327</v>
      </c>
      <c r="L308" s="428" t="s">
        <v>570</v>
      </c>
      <c r="M308" s="426" t="s">
        <v>2038</v>
      </c>
      <c r="N308"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8"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09" spans="1:15">
      <c r="A309" s="424" t="str">
        <f>IF(TBL_ADD_04_Qs_All[[#This Row],[Type]]="Question", K310, IF(TBL_ADD_04_Qs_All[[#This Row],[Sub_No]]="N/A", "-", CONCATENATE(TBL_ADD_04_Qs_All[[#This Row],[Q_No]], TBL_ADD_04_Qs_All[[#This Row],[Sub_No]])))</f>
        <v>Q5.5.5</v>
      </c>
      <c r="B309" s="424" t="s">
        <v>152</v>
      </c>
      <c r="C309"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09" s="426" t="str">
        <f>IF(OR(TBL_ADD_04_Qs_All[[#This Row],[Type]]="Overview", TBL_ADD_04_Qs_All[[#This Row],[Type]]="Sub-question", TBL_ADD_04_Qs_All[[#This Row],[Required?]]="No", TBL_ADD_04_Qs_All[[#This Row],[Section]]="IntSV", TBL_ADD_04_Qs_All[[#This Row],[Question / Sub-question]]="Not used"), "-", "")</f>
        <v>-</v>
      </c>
      <c r="E309" s="425" t="str">
        <f>IF(OR(TBL_ADD_04_Qs_All[[#This Row],[Type]]="Overview", TBL_ADD_04_Qs_All[[#This Row],[Type]]="Sub-question", TBL_ADD_04_Qs_All[[#This Row],[Required?]]="No", TBL_ADD_04_Qs_All[[#This Row],[Section]]="IntSV", TBL_ADD_04_Qs_All[[#This Row],[Question / Sub-question]]="Not used"), "-", "")</f>
        <v>-</v>
      </c>
      <c r="F309" s="427" t="str">
        <f>IF(OR(TBL_ADD_04_Qs_All[[#This Row],[Required?]]="No", TBL_ADD_04_Qs_All[[#This Row],[Section]]="IntSV", TBL_ADD_04_Qs_All[[#This Row],[Question / Sub-question]]="Not used"), "-", IF(TBL_ADD_04_Qs_All[[#This Row],[Type]]="Question", TBL_ADD_04_Qs_All[[#This Row],[No.subs]]*500, "-"))</f>
        <v>-</v>
      </c>
      <c r="G309"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09"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09" s="426" t="str">
        <f t="array" ref="I309">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09" s="424" t="s">
        <v>332</v>
      </c>
      <c r="K309" s="426" t="s">
        <v>1327</v>
      </c>
      <c r="L309" s="428" t="s">
        <v>571</v>
      </c>
      <c r="M309" s="426" t="s">
        <v>2038</v>
      </c>
      <c r="N309"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09"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10" spans="1:15">
      <c r="A310" s="424" t="str">
        <f>IF(TBL_ADD_04_Qs_All[[#This Row],[Type]]="Question", K311, IF(TBL_ADD_04_Qs_All[[#This Row],[Sub_No]]="N/A", "-", CONCATENATE(TBL_ADD_04_Qs_All[[#This Row],[Q_No]], TBL_ADD_04_Qs_All[[#This Row],[Sub_No]])))</f>
        <v>Q5.5.6</v>
      </c>
      <c r="B310" s="424" t="s">
        <v>152</v>
      </c>
      <c r="C310"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10" s="426" t="str">
        <f>IF(OR(TBL_ADD_04_Qs_All[[#This Row],[Type]]="Overview", TBL_ADD_04_Qs_All[[#This Row],[Type]]="Sub-question", TBL_ADD_04_Qs_All[[#This Row],[Required?]]="No", TBL_ADD_04_Qs_All[[#This Row],[Section]]="IntSV", TBL_ADD_04_Qs_All[[#This Row],[Question / Sub-question]]="Not used"), "-", "")</f>
        <v>-</v>
      </c>
      <c r="E310" s="425" t="str">
        <f>IF(OR(TBL_ADD_04_Qs_All[[#This Row],[Type]]="Overview", TBL_ADD_04_Qs_All[[#This Row],[Type]]="Sub-question", TBL_ADD_04_Qs_All[[#This Row],[Required?]]="No", TBL_ADD_04_Qs_All[[#This Row],[Section]]="IntSV", TBL_ADD_04_Qs_All[[#This Row],[Question / Sub-question]]="Not used"), "-", "")</f>
        <v>-</v>
      </c>
      <c r="F310" s="427" t="str">
        <f>IF(OR(TBL_ADD_04_Qs_All[[#This Row],[Required?]]="No", TBL_ADD_04_Qs_All[[#This Row],[Section]]="IntSV", TBL_ADD_04_Qs_All[[#This Row],[Question / Sub-question]]="Not used"), "-", IF(TBL_ADD_04_Qs_All[[#This Row],[Type]]="Question", TBL_ADD_04_Qs_All[[#This Row],[No.subs]]*500, "-"))</f>
        <v>-</v>
      </c>
      <c r="G310"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10"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10" s="426" t="str">
        <f t="array" ref="I310">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10" s="424" t="s">
        <v>332</v>
      </c>
      <c r="K310" s="426" t="s">
        <v>1327</v>
      </c>
      <c r="L310" s="428" t="s">
        <v>573</v>
      </c>
      <c r="M310" s="426" t="s">
        <v>2038</v>
      </c>
      <c r="N310"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10"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11" spans="1:15">
      <c r="A311" s="424" t="str">
        <f>IF(TBL_ADD_04_Qs_All[[#This Row],[Type]]="Question", K312, IF(TBL_ADD_04_Qs_All[[#This Row],[Sub_No]]="N/A", "-", CONCATENATE(TBL_ADD_04_Qs_All[[#This Row],[Q_No]], TBL_ADD_04_Qs_All[[#This Row],[Sub_No]])))</f>
        <v>Q5.5.7</v>
      </c>
      <c r="B311" s="424" t="s">
        <v>152</v>
      </c>
      <c r="C311"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11" s="426" t="str">
        <f>IF(OR(TBL_ADD_04_Qs_All[[#This Row],[Type]]="Overview", TBL_ADD_04_Qs_All[[#This Row],[Type]]="Sub-question", TBL_ADD_04_Qs_All[[#This Row],[Required?]]="No", TBL_ADD_04_Qs_All[[#This Row],[Section]]="IntSV", TBL_ADD_04_Qs_All[[#This Row],[Question / Sub-question]]="Not used"), "-", "")</f>
        <v>-</v>
      </c>
      <c r="E311" s="425" t="str">
        <f>IF(OR(TBL_ADD_04_Qs_All[[#This Row],[Type]]="Overview", TBL_ADD_04_Qs_All[[#This Row],[Type]]="Sub-question", TBL_ADD_04_Qs_All[[#This Row],[Required?]]="No", TBL_ADD_04_Qs_All[[#This Row],[Section]]="IntSV", TBL_ADD_04_Qs_All[[#This Row],[Question / Sub-question]]="Not used"), "-", "")</f>
        <v>-</v>
      </c>
      <c r="F311" s="427" t="str">
        <f>IF(OR(TBL_ADD_04_Qs_All[[#This Row],[Required?]]="No", TBL_ADD_04_Qs_All[[#This Row],[Section]]="IntSV", TBL_ADD_04_Qs_All[[#This Row],[Question / Sub-question]]="Not used"), "-", IF(TBL_ADD_04_Qs_All[[#This Row],[Type]]="Question", TBL_ADD_04_Qs_All[[#This Row],[No.subs]]*500, "-"))</f>
        <v>-</v>
      </c>
      <c r="G311"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11"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11" s="426" t="str">
        <f t="array" ref="I311">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11" s="424" t="s">
        <v>332</v>
      </c>
      <c r="K311" s="426" t="s">
        <v>1327</v>
      </c>
      <c r="L311" s="428" t="s">
        <v>574</v>
      </c>
      <c r="M311" s="426" t="s">
        <v>2038</v>
      </c>
      <c r="N311"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11"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12" spans="1:15">
      <c r="A312" s="424" t="str">
        <f>IF(TBL_ADD_04_Qs_All[[#This Row],[Type]]="Question", K313, IF(TBL_ADD_04_Qs_All[[#This Row],[Sub_No]]="N/A", "-", CONCATENATE(TBL_ADD_04_Qs_All[[#This Row],[Q_No]], TBL_ADD_04_Qs_All[[#This Row],[Sub_No]])))</f>
        <v>Q5.5.8</v>
      </c>
      <c r="B312" s="424" t="s">
        <v>152</v>
      </c>
      <c r="C312"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12" s="426" t="str">
        <f>IF(OR(TBL_ADD_04_Qs_All[[#This Row],[Type]]="Overview", TBL_ADD_04_Qs_All[[#This Row],[Type]]="Sub-question", TBL_ADD_04_Qs_All[[#This Row],[Required?]]="No", TBL_ADD_04_Qs_All[[#This Row],[Section]]="IntSV", TBL_ADD_04_Qs_All[[#This Row],[Question / Sub-question]]="Not used"), "-", "")</f>
        <v>-</v>
      </c>
      <c r="E312" s="425" t="str">
        <f>IF(OR(TBL_ADD_04_Qs_All[[#This Row],[Type]]="Overview", TBL_ADD_04_Qs_All[[#This Row],[Type]]="Sub-question", TBL_ADD_04_Qs_All[[#This Row],[Required?]]="No", TBL_ADD_04_Qs_All[[#This Row],[Section]]="IntSV", TBL_ADD_04_Qs_All[[#This Row],[Question / Sub-question]]="Not used"), "-", "")</f>
        <v>-</v>
      </c>
      <c r="F312" s="427" t="str">
        <f>IF(OR(TBL_ADD_04_Qs_All[[#This Row],[Required?]]="No", TBL_ADD_04_Qs_All[[#This Row],[Section]]="IntSV", TBL_ADD_04_Qs_All[[#This Row],[Question / Sub-question]]="Not used"), "-", IF(TBL_ADD_04_Qs_All[[#This Row],[Type]]="Question", TBL_ADD_04_Qs_All[[#This Row],[No.subs]]*500, "-"))</f>
        <v>-</v>
      </c>
      <c r="G312"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12"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12" s="426" t="str">
        <f t="array" ref="I312">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12" s="424" t="s">
        <v>332</v>
      </c>
      <c r="K312" s="426" t="s">
        <v>1327</v>
      </c>
      <c r="L312" s="428" t="s">
        <v>575</v>
      </c>
      <c r="M312" s="426" t="s">
        <v>2038</v>
      </c>
      <c r="N312"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12"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13" spans="1:15">
      <c r="A313" s="424" t="str">
        <f>IF(TBL_ADD_04_Qs_All[[#This Row],[Type]]="Question", K314, IF(TBL_ADD_04_Qs_All[[#This Row],[Sub_No]]="N/A", "-", CONCATENATE(TBL_ADD_04_Qs_All[[#This Row],[Q_No]], TBL_ADD_04_Qs_All[[#This Row],[Sub_No]])))</f>
        <v>Q5.5.9</v>
      </c>
      <c r="B313" s="424" t="s">
        <v>152</v>
      </c>
      <c r="C313" s="425"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13" s="426" t="str">
        <f>IF(OR(TBL_ADD_04_Qs_All[[#This Row],[Type]]="Overview", TBL_ADD_04_Qs_All[[#This Row],[Type]]="Sub-question", TBL_ADD_04_Qs_All[[#This Row],[Required?]]="No", TBL_ADD_04_Qs_All[[#This Row],[Section]]="IntSV", TBL_ADD_04_Qs_All[[#This Row],[Question / Sub-question]]="Not used"), "-", "")</f>
        <v>-</v>
      </c>
      <c r="E313" s="425" t="str">
        <f>IF(OR(TBL_ADD_04_Qs_All[[#This Row],[Type]]="Overview", TBL_ADD_04_Qs_All[[#This Row],[Type]]="Sub-question", TBL_ADD_04_Qs_All[[#This Row],[Required?]]="No", TBL_ADD_04_Qs_All[[#This Row],[Section]]="IntSV", TBL_ADD_04_Qs_All[[#This Row],[Question / Sub-question]]="Not used"), "-", "")</f>
        <v>-</v>
      </c>
      <c r="F313" s="427" t="str">
        <f>IF(OR(TBL_ADD_04_Qs_All[[#This Row],[Required?]]="No", TBL_ADD_04_Qs_All[[#This Row],[Section]]="IntSV", TBL_ADD_04_Qs_All[[#This Row],[Question / Sub-question]]="Not used"), "-", IF(TBL_ADD_04_Qs_All[[#This Row],[Type]]="Question", TBL_ADD_04_Qs_All[[#This Row],[No.subs]]*500, "-"))</f>
        <v>-</v>
      </c>
      <c r="G313" s="425"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13"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13" s="426" t="str">
        <f t="array" ref="I313">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13" s="424" t="s">
        <v>332</v>
      </c>
      <c r="K313" s="426" t="s">
        <v>1327</v>
      </c>
      <c r="L313" s="428" t="s">
        <v>576</v>
      </c>
      <c r="M313" s="426" t="s">
        <v>2038</v>
      </c>
      <c r="N313"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13" s="429"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row r="314" spans="1:15">
      <c r="A314" s="430" t="str">
        <f>IF(TBL_ADD_04_Qs_All[[#This Row],[Type]]="Question", L315, IF(TBL_ADD_04_Qs_All[[#This Row],[Sub_No]]="N/A", "-", CONCATENATE(TBL_ADD_04_Qs_All[[#This Row],[Q_No]], TBL_ADD_04_Qs_All[[#This Row],[Sub_No]])))</f>
        <v>Q5.5.10</v>
      </c>
      <c r="B314" s="430" t="s">
        <v>152</v>
      </c>
      <c r="C314" s="431" t="str">
        <f>IF(TBL_ADD_04_Qs_All[[#This Row],[Type]]="Overview", "-", IF(AND(TBL_ADD_04_Qs_All[[#This Row],[Type]]="Question", OR(TBL_ADD_04_Qs_All[[#This Row],[Question / Sub-question]]="Not used", TBL_ADD_04_Qs_All[[#This Row],[No.subs]]=0)), "Not used", IF(TBL_ADD_04_Qs_All[[#This Row],[Type]]="Sub-question", IF(TBL_ADD_04_Qs_All[[#This Row],[Question / Sub-question]]="Not used", "-", REF_marks), CONCATENATE("The maximum score for ", TBL_ADD_04_Qs_All[[#This Row],[Q.]], " is ", TBL_ADD_04_Qs_All[[#This Row],[Max score]], ".00 marks (", TBL_ADD_04_Qs_All[[#This Row],[No.subs]], " elements x ", REF_marks,".00 marks)", IF(OR(AND(TBL_ADD_04_Qs_All[[#This Row],[Section]]="Select", REF_Select_Weighted="Yes"), AND(TBL_ADD_04_Qs_All[[#This Row],[Section]]="Tech", REF_Tech_Weighted="Yes"), AND(TBL_ADD_04_Qs_All[[#This Row],[Section]]=REF_Int_or_SV, REF_IntSV_Weighted="Yes")), IF(TBL_ADD_04_Qs_All[[#This Row],[Weighting]]&lt;&gt;"", CONCATENATE(" which in turn, will be weighted to a maximum of ", TBL_ADD_04_Qs_All[[#This Row],[Weighting]], ".00 points."), ""), "")))))</f>
        <v>-</v>
      </c>
      <c r="D314" s="432" t="str">
        <f>IF(OR(TBL_ADD_04_Qs_All[[#This Row],[Type]]="Overview", TBL_ADD_04_Qs_All[[#This Row],[Type]]="Sub-question", TBL_ADD_04_Qs_All[[#This Row],[Required?]]="No", TBL_ADD_04_Qs_All[[#This Row],[Section]]="IntSV", TBL_ADD_04_Qs_All[[#This Row],[Question / Sub-question]]="Not used"), "-", "")</f>
        <v>-</v>
      </c>
      <c r="E314" s="431" t="str">
        <f>IF(OR(TBL_ADD_04_Qs_All[[#This Row],[Type]]="Overview", TBL_ADD_04_Qs_All[[#This Row],[Type]]="Sub-question", TBL_ADD_04_Qs_All[[#This Row],[Required?]]="No", TBL_ADD_04_Qs_All[[#This Row],[Section]]="IntSV", TBL_ADD_04_Qs_All[[#This Row],[Question / Sub-question]]="Not used"), "-", "")</f>
        <v>-</v>
      </c>
      <c r="F314" s="433" t="str">
        <f>IF(OR(TBL_ADD_04_Qs_All[[#This Row],[Required?]]="No", TBL_ADD_04_Qs_All[[#This Row],[Section]]="IntSV", TBL_ADD_04_Qs_All[[#This Row],[Question / Sub-question]]="Not used"), "-", IF(TBL_ADD_04_Qs_All[[#This Row],[Type]]="Question", TBL_ADD_04_Qs_All[[#This Row],[No.subs]]*500, "-"))</f>
        <v>-</v>
      </c>
      <c r="G314" s="431" t="str">
        <f>IF(TBL_ADD_04_Qs_All[[#This Row],[Required?]]="No", "-", IF(TBL_ADD_04_Qs_All[[#This Row],[Type]]="Overview", SUM(COUNTIFS(TBL_ADD_04_Qs_All[Section], TBL_ADD_04_Qs_All[[#This Row],[Section]], TBL_ADD_04_Qs_All[Type], "Question")-IF(TBL_ADD_04_Qs_All[[#This Row],[Section]]="Select", IF(REF_CCS_Q="Yes", 2, 0), 0))-COUNTIFS(TBL_ADD_04_Qs_All[Question / Sub-question], "Not used", TBL_ADD_04_Qs_All[Type], "Question", TBL_ADD_04_Qs_All[Section], TBL_ADD_04_Qs_All[[#This Row],[Section]]), IF(TBL_ADD_04_Qs_All[[#This Row],[Type]]="Question", IF(OR(AND(TBL_ADD_04_Qs_All[[#This Row],[Section]]="Select", REF_Select_Weighted="Yes"), AND(TBL_ADD_04_Qs_All[[#This Row],[Section]]="Tech", REF_Tech_Weighted="Yes"), AND(TBL_ADD_04_Qs_All[[#This Row],[Section]]="IntSV", REF_IntSV_Weighted="Yes")), "", "N/A"), "-")))</f>
        <v>-</v>
      </c>
      <c r="H314" s="426" t="str">
        <f>IF(TBL_ADD_04_Qs_All[[#This Row],[Required?]]="No", "-", IF(TBL_ADD_04_Qs_All[[#This Row],[Type]]="Question", (COUNTIF(TBL_ADD_04_Qs_All[Q_No], TBL_ADD_04_Qs_All[[#This Row],[Q.]])-COUNTIFS(TBL_ADD_04_Qs_All[Question / Sub-question], "Not used", TBL_ADD_04_Qs_All[Q_No], TBL_ADD_04_Qs_All[[#This Row],[Q.]])), IF(TBL_ADD_04_Qs_All[[#This Row],[Type]]="Overview", IF(TBL_ADD_04_Qs_All[[#This Row],[Section]]="Select", SUMIFS(TBL_ADD_04_Qs_All[Maximum marks available], TBL_ADD_04_Qs_All[Type], "Sub-question", TBL_ADD_04_Qs_All[Section], TBL_ADD_04_Qs_All[[#This Row],[Section]])-IF(REF_CCS_Q="yes",REF_marks,0), SUMIFS(TBL_ADD_04_Qs_All[Maximum marks available], TBL_ADD_04_Qs_All[Type], "Sub-question", TBL_ADD_04_Qs_All[Section], TBL_ADD_04_Qs_All[[#This Row],[Section]])), "-")))</f>
        <v>-</v>
      </c>
      <c r="I314" s="432" t="str">
        <f t="array" ref="I314">IF(TBL_ADD_04_Qs_All[[#This Row],[Required?]]="No", "-", IF(AND(TBL_ADD_04_Qs_All[[#This Row],[Type]]="Overview", TBL_ADD_04_Qs_All[[#This Row],[Section]]="Select"), IF(REF_Select_Weighted="Yes", 50, INDEX(TBL_DATA_02_Q_Info[Select_Points], MATCH(1, (TBL_DATA_02_Q_Info[Lot]="All")*(TBL_DATA_02_Q_Info[Include?]="Yes"), 0))/2), IF(TBL_ADD_04_Qs_All[[#This Row],[Type]]="Question", TBL_ADD_04_Qs_All[[#This Row],[No.subs]]*REF_marks, "-")))</f>
        <v>-</v>
      </c>
      <c r="J314" s="430" t="s">
        <v>332</v>
      </c>
      <c r="K314" s="432" t="s">
        <v>1327</v>
      </c>
      <c r="L314" s="434" t="s">
        <v>577</v>
      </c>
      <c r="M314" s="432" t="s">
        <v>2038</v>
      </c>
      <c r="N314" s="426" t="str">
        <f>IF(OR(REF_Lotted="No", AND(REF_Lotted="Yes", REF_Doc_Lot="All")), IF(TBL_ADD_04_Qs_All[[#This Row],[Section]]="Select", IF(OR('Project Info'!$K$14="Open Procedure", 'Project Info'!$K$28="SQ"), IF(REF_Select_Include="Yes", "Yes", "No"), "No"), IF(TBL_ADD_04_Qs_All[[#This Row],[Section]]="Tech", IF(OR('Project Info'!$K$28="SQ", REF_Split_Price=100), "No", "Yes"), IF(OR('Project Info'!$K$28="SQ", REF_Split_Price=100, REF_Int_or_SV="Not applicable"), "No", "Yes"))), "No")</f>
        <v>No</v>
      </c>
      <c r="O314" s="435" t="str">
        <f>IF(TBL_ADD_04_Qs_All[[#This Row],[Type]]="Question", IF(OR(TBL_ADD_04_Qs_All[[#This Row],[Word limit]]=0, TBL_ADD_04_Qs_All[[#This Row],[Word limit]]="-"), "-", $T$1&amp;TBL_ADD_04_Qs_All[[#This Row],[Q.]]&amp;$U$1&amp;TBL_ADD_04_Qs_All[[#This Row],[Word limit]]&amp;$V$1&amp;IF(AND(TBL_ADD_04_Qs_All[[#This Row],[App_sub-qs]]&lt;&gt;"", TBL_ADD_04_Qs_All[[#This Row],[App_pages]]&lt;&gt;""), IF(OR(TBL_ADD_04_Qs_All[[#This Row],[App_sub-qs]]="N/A", TBL_ADD_04_Qs_All[[#This Row],[App_pages]]="N/A"), "-", CONCATENATE($W$1, TBL_ADD_04_Qs_All[[#This Row],[App_pages]], " side", IF(TBL_ADD_04_Qs_All[[#This Row],[App_pages]]=1, "", "s"), $X$1, TBL_ADD_04_Qs_All[[#This Row],[App_pages]]*2, $Y$1, TBL_ADD_04_Qs_All[[#This Row],[App_sub-qs]], ".")), "")), "-")</f>
        <v>-</v>
      </c>
    </row>
  </sheetData>
  <sheetProtection algorithmName="SHA-512" hashValue="dgwAe1Qy3thA9Z8nhGUqC1fti41DbmA7EAMiBVbTX+ldVH2xb3EgugFJml+pDWaKWHzXlfuhQEkqfdJJ/I12IA==" saltValue="17CLNyxxj/xUvCXWLiLPpA==" spinCount="100000" sheet="1" formatRows="0" autoFilter="0"/>
  <protectedRanges>
    <protectedRange sqref="B149:B258 B260:B314 B5:B147" name="Questions"/>
    <protectedRange sqref="F5 D38:F38 D49:G49 D60:G60 D71:G71 D82:G82 D93:G93 D104:G104 D115:G115 D126:G126 D137:G137 F16" name="Data_1"/>
    <protectedRange sqref="D149:G149 D160:G160 D171:G171 D182:G182 D193:G193 D204:G204 D215:G215 D226:G226 D237:G237 D248:G248 G260 G271 G282 G293 G304" name="Data_2"/>
    <protectedRange sqref="I4" name="Threshold"/>
  </protectedRanges>
  <conditionalFormatting sqref="A4:O314">
    <cfRule type="expression" dxfId="138" priority="2">
      <formula>INDIRECT("J"&amp;ROW())="Question"</formula>
    </cfRule>
    <cfRule type="expression" dxfId="137" priority="3">
      <formula>INDIRECT("B"&amp;ROW())="Not used"</formula>
    </cfRule>
    <cfRule type="expression" dxfId="136" priority="4">
      <formula>INDIRECT("O"&amp;ROW())="No"</formula>
    </cfRule>
    <cfRule type="containsText" dxfId="134" priority="6" operator="containsText" text="N/A">
      <formula>NOT(ISERROR(SEARCH("N/A",A4)))</formula>
    </cfRule>
    <cfRule type="containsBlanks" dxfId="133" priority="7">
      <formula>LEN(TRIM(A4))=0</formula>
    </cfRule>
  </conditionalFormatting>
  <conditionalFormatting sqref="B4:B314 G4:O314">
    <cfRule type="expression" dxfId="132" priority="1">
      <formula>INDIRECT("J"&amp;ROW())="Overview"</formula>
    </cfRule>
  </conditionalFormatting>
  <dataValidations disablePrompts="1" count="1">
    <dataValidation type="whole" operator="greaterThanOrEqual" allowBlank="1" showInputMessage="1" showErrorMessage="1" sqref="E137 E16:E27 E38 E49 E60 E71 E82 E93 E104 E115 E126" xr:uid="{66C21FBF-BE22-4BD7-93A5-6269BD52EB38}">
      <formula1>1</formula1>
    </dataValidation>
  </dataValidations>
  <pageMargins left="1.1811023622047243" right="0.78740157480314965" top="1.1811023622047243" bottom="0.78740157480314965" header="0.59055118110236215" footer="0.49212598425196852"/>
  <pageSetup paperSize="9"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beginsWith" priority="5" operator="beginsWith" id="{B0DC17E8-47F6-4FE1-B784-F8DCA0383EB6}">
            <xm:f>LEFT(A4,LEN("-"))="-"</xm:f>
            <xm:f>"-"</xm:f>
            <x14:dxf>
              <font>
                <color theme="0" tint="-0.24994659260841701"/>
              </font>
              <fill>
                <patternFill>
                  <bgColor theme="0" tint="-0.24994659260841701"/>
                </patternFill>
              </fill>
            </x14:dxf>
          </x14:cfRule>
          <xm:sqref>A4:O314</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15394-9C24-40F5-AF6E-C77B8C959E67}">
  <sheetPr>
    <tabColor rgb="FFFFFF00"/>
  </sheetPr>
  <dimension ref="A1:I16"/>
  <sheetViews>
    <sheetView topLeftCell="L1" workbookViewId="0">
      <selection activeCell="K1" sqref="G1:K1048576"/>
    </sheetView>
  </sheetViews>
  <sheetFormatPr defaultRowHeight="12.5"/>
  <cols>
    <col min="1" max="1" width="8.6328125" hidden="1" customWidth="1"/>
    <col min="2" max="2" width="9.90625" style="298" hidden="1" customWidth="1"/>
    <col min="3" max="3" width="11.453125" style="298" hidden="1" customWidth="1"/>
    <col min="4" max="4" width="9.36328125" style="298" hidden="1" customWidth="1"/>
    <col min="5" max="6" width="9.90625" style="298" hidden="1" customWidth="1"/>
    <col min="7" max="7" width="10.90625" style="276" hidden="1" customWidth="1"/>
    <col min="8" max="8" width="46.6328125" style="520" hidden="1" customWidth="1"/>
    <col min="9" max="9" width="22.36328125" style="520" hidden="1" customWidth="1"/>
    <col min="10" max="11" width="0" hidden="1" customWidth="1"/>
  </cols>
  <sheetData>
    <row r="1" spans="1:9" ht="17.5">
      <c r="G1" s="88" t="s">
        <v>2092</v>
      </c>
    </row>
    <row r="3" spans="1:9">
      <c r="G3" s="512" t="s">
        <v>2103</v>
      </c>
    </row>
    <row r="4" spans="1:9" ht="13">
      <c r="A4" s="518" t="s">
        <v>488</v>
      </c>
      <c r="B4" s="518" t="s">
        <v>448</v>
      </c>
      <c r="C4" s="518" t="s">
        <v>2104</v>
      </c>
      <c r="D4" s="518" t="s">
        <v>2105</v>
      </c>
      <c r="E4" s="518" t="s">
        <v>2106</v>
      </c>
      <c r="F4" s="518" t="s">
        <v>2107</v>
      </c>
      <c r="G4" s="515" t="s">
        <v>448</v>
      </c>
      <c r="H4" s="204" t="s">
        <v>416</v>
      </c>
      <c r="I4" s="517" t="s">
        <v>2095</v>
      </c>
    </row>
    <row r="5" spans="1:9" ht="13">
      <c r="B5" s="298" t="s">
        <v>545</v>
      </c>
      <c r="C5" s="298" t="s">
        <v>450</v>
      </c>
      <c r="E5" s="519" t="str">
        <f t="array" ref="E5">IF(C5&lt;&gt;"", IF(INDEX(TBL_ADD_03_Dates[Date], MATCH(1, ($B5=TBL_ADD_03_Dates[Stage])*(C5=TBL_ADD_03_Dates[Activity]),0))&lt;&gt;"", INDEX(TBL_ADD_03_Dates[Date], MATCH(1, ($B5=TBL_ADD_03_Dates[Stage])*(C5=TBL_ADD_03_Dates[Activity]),0)), ""), "")</f>
        <v/>
      </c>
      <c r="F5" s="519" t="str">
        <f t="array" ref="F5">IF(D5&lt;&gt;"", IF(INDEX(TBL_ADD_03_Dates[Date], MATCH(1, ($B5=TBL_ADD_03_Dates[Stage])*(D5=TBL_ADD_03_Dates[Activity]),0))&lt;&gt;"", INDEX(TBL_ADD_03_Dates[Date], MATCH(1, ($B5=TBL_ADD_03_Dates[Stage])*(D5=TBL_ADD_03_Dates[Activity]),0)), ""), "")</f>
        <v/>
      </c>
      <c r="G5" s="509" t="s">
        <v>2096</v>
      </c>
      <c r="H5" s="521" t="s">
        <v>2097</v>
      </c>
      <c r="I5" s="522" t="str">
        <f>IF(E5&lt;&gt;"", TEXT(E5, "d MMM yy"), "[Delete this row]")</f>
        <v>[Delete this row]</v>
      </c>
    </row>
    <row r="6" spans="1:9" ht="13">
      <c r="B6" s="298" t="s">
        <v>545</v>
      </c>
      <c r="C6" s="298" t="s">
        <v>451</v>
      </c>
      <c r="D6" s="298" t="s">
        <v>453</v>
      </c>
      <c r="E6" s="519" t="str">
        <f t="array" ref="E6">IF(C6&lt;&gt;"", IF(INDEX(TBL_ADD_03_Dates[Date], MATCH(1, ($B6=TBL_ADD_03_Dates[Stage])*(C6=TBL_ADD_03_Dates[Activity]),0))&lt;&gt;"", INDEX(TBL_ADD_03_Dates[Date], MATCH(1, ($B6=TBL_ADD_03_Dates[Stage])*(C6=TBL_ADD_03_Dates[Activity]),0)), ""), "")</f>
        <v/>
      </c>
      <c r="F6" s="298" t="str">
        <f t="array" ref="F6">IF(D6&lt;&gt;"", IF(INDEX(TBL_ADD_03_Dates[Date], MATCH(1, ($B6=TBL_ADD_03_Dates[Stage])*(D6=TBL_ADD_03_Dates[Activity]),0))&lt;&gt;"", INDEX(TBL_ADD_03_Dates[Date], MATCH(1, ($B6=TBL_ADD_03_Dates[Stage])*(D6=TBL_ADD_03_Dates[Activity]),0)), ""), "")</f>
        <v/>
      </c>
      <c r="G6" s="683" t="s">
        <v>545</v>
      </c>
      <c r="H6" s="521" t="s">
        <v>12</v>
      </c>
      <c r="I6" s="522" t="str">
        <f>IF(AND(E6&lt;&gt;"", F6&lt;&gt;""), IF(F6=0.5,"12:00 noon", TEXT(F6, "h:mm AM/PM"))&amp;" on "&amp;TEXT(E6, "d MMM yy"), "[Delete this row]")</f>
        <v>[Delete this row]</v>
      </c>
    </row>
    <row r="7" spans="1:9" ht="13">
      <c r="B7" s="298" t="s">
        <v>545</v>
      </c>
      <c r="C7" s="298" t="s">
        <v>452</v>
      </c>
      <c r="D7" s="298" t="s">
        <v>453</v>
      </c>
      <c r="E7" s="519" t="str">
        <f t="array" ref="E7">IF(C7&lt;&gt;"", IF(INDEX(TBL_ADD_03_Dates[Date], MATCH(1, ($B7=TBL_ADD_03_Dates[Stage])*(C7=TBL_ADD_03_Dates[Activity]),0))&lt;&gt;"", INDEX(TBL_ADD_03_Dates[Date], MATCH(1, ($B7=TBL_ADD_03_Dates[Stage])*(C7=TBL_ADD_03_Dates[Activity]),0)), ""), "")</f>
        <v/>
      </c>
      <c r="F7" s="298" t="str">
        <f t="array" ref="F7">IF(D7&lt;&gt;"", IF(INDEX(TBL_ADD_03_Dates[Date], MATCH(1, ($B7=TBL_ADD_03_Dates[Stage])*(D7=TBL_ADD_03_Dates[Activity]),0))&lt;&gt;"", INDEX(TBL_ADD_03_Dates[Date], MATCH(1, ($B7=TBL_ADD_03_Dates[Stage])*(D7=TBL_ADD_03_Dates[Activity]),0)), ""), "")</f>
        <v/>
      </c>
      <c r="G7" s="683"/>
      <c r="H7" s="521" t="s">
        <v>2098</v>
      </c>
      <c r="I7" s="522" t="str">
        <f>IF(AND(E7&lt;&gt;"", F7&lt;&gt;""), IF(F7=0.5,"12:00 noon", TEXT(F7, "h:mm AM/PM"))&amp;" on "&amp;TEXT(E7, "d MMM yy"), "[Delete this row]")</f>
        <v>[Delete this row]</v>
      </c>
    </row>
    <row r="8" spans="1:9" ht="13">
      <c r="B8" s="298" t="s">
        <v>545</v>
      </c>
      <c r="C8" s="298" t="s">
        <v>454</v>
      </c>
      <c r="E8" s="519" t="str">
        <f t="array" ref="E8">IF(C8&lt;&gt;"", IF(INDEX(TBL_ADD_03_Dates[Date], MATCH(1, ($B8=TBL_ADD_03_Dates[Stage])*(C8=TBL_ADD_03_Dates[Activity]),0))&lt;&gt;"", INDEX(TBL_ADD_03_Dates[Date], MATCH(1, ($B8=TBL_ADD_03_Dates[Stage])*(C8=TBL_ADD_03_Dates[Activity]),0)), ""), "")</f>
        <v/>
      </c>
      <c r="F8" s="519" t="str">
        <f t="array" ref="F8">IF(D8&lt;&gt;"", IF(INDEX(TBL_ADD_03_Dates[Date], MATCH(1, ($B8=TBL_ADD_03_Dates[Stage])*(D8=TBL_ADD_03_Dates[Activity]),0))&lt;&gt;"", INDEX(TBL_ADD_03_Dates[Date], MATCH(1, ($B8=TBL_ADD_03_Dates[Stage])*(D8=TBL_ADD_03_Dates[Activity]),0)), ""), "")</f>
        <v/>
      </c>
      <c r="G8" s="683"/>
      <c r="H8" s="521" t="s">
        <v>2099</v>
      </c>
      <c r="I8" s="522" t="str">
        <f>IF(E8&lt;&gt;"", TEXT(E8, "d MMM yy"), "[Delete this row]")</f>
        <v>[Delete this row]</v>
      </c>
    </row>
    <row r="9" spans="1:9" ht="13">
      <c r="B9" s="298" t="s">
        <v>545</v>
      </c>
      <c r="C9" s="298" t="s">
        <v>535</v>
      </c>
      <c r="E9" s="519" t="str">
        <f t="array" ref="E9">IF(C9&lt;&gt;"", IF(INDEX(TBL_ADD_03_Dates[Date], MATCH(1, ($B9=TBL_ADD_03_Dates[Stage])*(C9=TBL_ADD_03_Dates[Activity]),0))&lt;&gt;"", INDEX(TBL_ADD_03_Dates[Date], MATCH(1, ($B9=TBL_ADD_03_Dates[Stage])*(C9=TBL_ADD_03_Dates[Activity]),0)), ""), "")</f>
        <v/>
      </c>
      <c r="F9" s="519" t="str">
        <f t="array" ref="F9">IF(D9&lt;&gt;"", IF(INDEX(TBL_ADD_03_Dates[Date], MATCH(1, ($B9=TBL_ADD_03_Dates[Stage])*(D9=TBL_ADD_03_Dates[Activity]),0))&lt;&gt;"", INDEX(TBL_ADD_03_Dates[Date], MATCH(1, ($B9=TBL_ADD_03_Dates[Stage])*(D9=TBL_ADD_03_Dates[Activity]),0)), ""), "")</f>
        <v/>
      </c>
      <c r="G9" s="683"/>
      <c r="H9" s="521" t="str">
        <f>IF(REF_Int_or_SV="Not applicable", "[Delete this row]", "Advise "&amp;REF_Int_or_SV&amp;" slot")</f>
        <v>[Delete this row]</v>
      </c>
      <c r="I9" s="522" t="str">
        <f>IF(REF_Int_or_SV="Not applicable", "[Delete this row]", IF(E9&lt;&gt;"", TEXT(E9, "d MMM yy"), "[Delete this row]"))</f>
        <v>[Delete this row]</v>
      </c>
    </row>
    <row r="10" spans="1:9" ht="13">
      <c r="B10" s="298" t="s">
        <v>545</v>
      </c>
      <c r="C10" s="298" t="s">
        <v>536</v>
      </c>
      <c r="D10" s="298" t="s">
        <v>537</v>
      </c>
      <c r="E10" s="519" t="str">
        <f t="array" ref="E10">IF(C10&lt;&gt;"", IF(INDEX(TBL_ADD_03_Dates[Date], MATCH(1, ($B10=TBL_ADD_03_Dates[Stage])*(C10=TBL_ADD_03_Dates[Activity]),0))&lt;&gt;"", INDEX(TBL_ADD_03_Dates[Date], MATCH(1, ($B10=TBL_ADD_03_Dates[Stage])*(C10=TBL_ADD_03_Dates[Activity]),0)), ""), "")</f>
        <v/>
      </c>
      <c r="F10" s="519" t="str">
        <f t="array" ref="F10">IF(D10&lt;&gt;"", IF(INDEX(TBL_ADD_03_Dates[Date], MATCH(1, ($B10=TBL_ADD_03_Dates[Stage])*(D10=TBL_ADD_03_Dates[Activity]),0))&lt;&gt;"", INDEX(TBL_ADD_03_Dates[Date], MATCH(1, ($B10=TBL_ADD_03_Dates[Stage])*(D10=TBL_ADD_03_Dates[Activity]),0)), ""), "")</f>
        <v/>
      </c>
      <c r="G10" s="683"/>
      <c r="H10" s="521" t="str">
        <f>IF(REF_Int_or_SV="Not applicable", "[Delete this row]", REF_Int_or_SV&amp;"s")</f>
        <v>[Delete this row]</v>
      </c>
      <c r="I10" s="522" t="str">
        <f>IF(REF_Int_or_SV="Not applicable", "[Delete this row]", IF(AND(E10&lt;&gt;"", F10&lt;&gt;""), TEXT(E10, "d MMM")&amp;" - "&amp;TEXT(E10, "d MMM yy"), "[Delete this row]"))</f>
        <v>[Delete this row]</v>
      </c>
    </row>
    <row r="11" spans="1:9" ht="13">
      <c r="B11" s="298" t="s">
        <v>545</v>
      </c>
      <c r="C11" s="298" t="s">
        <v>537</v>
      </c>
      <c r="E11" s="519" t="str">
        <f t="array" ref="E11">IF(C11&lt;&gt;"", IF(INDEX(TBL_ADD_03_Dates[Date], MATCH(1, ($B11=TBL_ADD_03_Dates[Stage])*(C11=TBL_ADD_03_Dates[Activity]),0))&lt;&gt;"", INDEX(TBL_ADD_03_Dates[Date], MATCH(1, ($B11=TBL_ADD_03_Dates[Stage])*(C11=TBL_ADD_03_Dates[Activity]),0)), ""), "")</f>
        <v/>
      </c>
      <c r="F11" s="519" t="str">
        <f t="array" ref="F11">IF(D11&lt;&gt;"", IF(INDEX(TBL_ADD_03_Dates[Date], MATCH(1, ($B11=TBL_ADD_03_Dates[Stage])*(D11=TBL_ADD_03_Dates[Activity]),0))&lt;&gt;"", INDEX(TBL_ADD_03_Dates[Date], MATCH(1, ($B11=TBL_ADD_03_Dates[Stage])*(D11=TBL_ADD_03_Dates[Activity]),0)), ""), "")</f>
        <v/>
      </c>
      <c r="G11" s="683"/>
      <c r="H11" s="521" t="s">
        <v>2100</v>
      </c>
      <c r="I11" s="522" t="str">
        <f>IF(REF_Int_or_SV="Not applicable", "[Delete this row]", IF(E11&lt;&gt;"", TEXT(E11, "d MMM yy"), "[Delete this row]"))</f>
        <v>[Delete this row]</v>
      </c>
    </row>
    <row r="12" spans="1:9" ht="25">
      <c r="B12" s="298" t="s">
        <v>457</v>
      </c>
      <c r="C12" s="298" t="s">
        <v>458</v>
      </c>
      <c r="E12" s="519" t="str">
        <f t="array" ref="E12">IF(C12&lt;&gt;"", IF(INDEX(TBL_ADD_03_Dates[Date], MATCH(1, ($B12=TBL_ADD_03_Dates[Stage])*(C12=TBL_ADD_03_Dates[Activity]),0))&lt;&gt;"", INDEX(TBL_ADD_03_Dates[Date], MATCH(1, ($B12=TBL_ADD_03_Dates[Stage])*(C12=TBL_ADD_03_Dates[Activity]),0)), ""), "")</f>
        <v/>
      </c>
      <c r="F12" s="519" t="str">
        <f t="array" ref="F12">IF(D12&lt;&gt;"", IF(INDEX(TBL_ADD_03_Dates[Date], MATCH(1, ($B12=TBL_ADD_03_Dates[Stage])*(D12=TBL_ADD_03_Dates[Activity]),0))&lt;&gt;"", INDEX(TBL_ADD_03_Dates[Date], MATCH(1, ($B12=TBL_ADD_03_Dates[Stage])*(D12=TBL_ADD_03_Dates[Activity]),0)), ""), "")</f>
        <v/>
      </c>
      <c r="G12" s="683" t="s">
        <v>317</v>
      </c>
      <c r="H12" s="521" t="str">
        <f>IF(REF_Leaseholders="Yes", "Issue leaseholder consultation and preferred bidder letters",  "Provide feedback to Suppliers")</f>
        <v>Issue leaseholder consultation and preferred bidder letters</v>
      </c>
      <c r="I12" s="522" t="str">
        <f>IF(REF_Leaseholders="Yes", IF(E12&lt;&gt;"", TEXT(E12, "d MMM yy"), "[Delete this row]"), IF(E13&lt;&gt;"", TEXT(E13, "d MMM yy"), "[Delete this row]"))</f>
        <v>[Delete this row]</v>
      </c>
    </row>
    <row r="13" spans="1:9" ht="13">
      <c r="B13" s="298" t="s">
        <v>460</v>
      </c>
      <c r="C13" s="298" t="s">
        <v>317</v>
      </c>
      <c r="E13" s="519" t="str">
        <f t="array" ref="E13">IF(C13&lt;&gt;"", IF(INDEX(TBL_ADD_03_Dates[Date], MATCH(1, ($B13=TBL_ADD_03_Dates[Stage])*(C13=TBL_ADD_03_Dates[Activity]),0))&lt;&gt;"", INDEX(TBL_ADD_03_Dates[Date], MATCH(1, ($B13=TBL_ADD_03_Dates[Stage])*(C13=TBL_ADD_03_Dates[Activity]),0)), ""), "")</f>
        <v/>
      </c>
      <c r="F13" s="519" t="str">
        <f t="array" ref="F13">IF(D13&lt;&gt;"", IF(INDEX(TBL_ADD_03_Dates[Date], MATCH(1, ($B13=TBL_ADD_03_Dates[Stage])*(D13=TBL_ADD_03_Dates[Activity]),0))&lt;&gt;"", INDEX(TBL_ADD_03_Dates[Date], MATCH(1, ($B13=TBL_ADD_03_Dates[Stage])*(D13=TBL_ADD_03_Dates[Activity]),0)), ""), "")</f>
        <v/>
      </c>
      <c r="G13" s="683"/>
      <c r="H13" s="521" t="str">
        <f>IF(REF_Leaseholders="Yes", "Provide feedback to Suppliers", "[Delete this row]")</f>
        <v>Provide feedback to Suppliers</v>
      </c>
      <c r="I13" s="522" t="str">
        <f>IF(REF_Leaseholders="Yes", IF(E13&lt;&gt;"", TEXT(E13, "d MMM yy"), "[Delete this row]"),  "[Delete this row]")</f>
        <v>[Delete this row]</v>
      </c>
    </row>
    <row r="14" spans="1:9" ht="13">
      <c r="B14" s="298" t="s">
        <v>461</v>
      </c>
      <c r="C14" s="298" t="s">
        <v>458</v>
      </c>
      <c r="E14" s="519" t="str">
        <f t="array" ref="E14">IF(C14&lt;&gt;"", IF(INDEX(TBL_ADD_03_Dates[Date], MATCH(1, ($B14=TBL_ADD_03_Dates[Stage])*(C14=TBL_ADD_03_Dates[Activity]),0))&lt;&gt;"", INDEX(TBL_ADD_03_Dates[Date], MATCH(1, ($B14=TBL_ADD_03_Dates[Stage])*(C14=TBL_ADD_03_Dates[Activity]),0)), ""), "")</f>
        <v/>
      </c>
      <c r="F14" s="519" t="str">
        <f t="array" ref="F14">IF(D14&lt;&gt;"", IF(INDEX(TBL_ADD_03_Dates[Date], MATCH(1, ($B14=TBL_ADD_03_Dates[Stage])*(D14=TBL_ADD_03_Dates[Activity]),0))&lt;&gt;"", INDEX(TBL_ADD_03_Dates[Date], MATCH(1, ($B14=TBL_ADD_03_Dates[Stage])*(D14=TBL_ADD_03_Dates[Activity]),0)), ""), "")</f>
        <v/>
      </c>
      <c r="G14" s="683" t="s">
        <v>2101</v>
      </c>
      <c r="H14" s="521" t="s">
        <v>2102</v>
      </c>
      <c r="I14" s="522" t="str">
        <f>IF(AND(E14&lt;&gt;"", E15&lt;&gt;""), TEXT(E14, "d MMM yy")&amp;" - "&amp;TEXT(E15, "d MMM yy"), "[Delete this row]")</f>
        <v>[Delete this row]</v>
      </c>
    </row>
    <row r="15" spans="1:9" ht="13">
      <c r="B15" s="298" t="s">
        <v>463</v>
      </c>
      <c r="C15" s="298" t="s">
        <v>463</v>
      </c>
      <c r="E15" s="519" t="str">
        <f t="array" ref="E15">IF(C15&lt;&gt;"", IF(INDEX(TBL_ADD_03_Dates[Date], MATCH(1, ($B15=TBL_ADD_03_Dates[Stage])*(C15=TBL_ADD_03_Dates[Activity]),0))&lt;&gt;"", INDEX(TBL_ADD_03_Dates[Date], MATCH(1, ($B15=TBL_ADD_03_Dates[Stage])*(C15=TBL_ADD_03_Dates[Activity]),0)), ""), "")</f>
        <v/>
      </c>
      <c r="F15" s="519"/>
      <c r="G15" s="683"/>
      <c r="H15" s="523" t="str">
        <f t="array" ref="H15">PROPER(INDEX(TBL_DATA_00_Doc_Merge[contract_or_fw], MATCH(1, (REF_Job_No=TBL_DATA_00_Doc_Merge[Job_No])*(REF_Doc_Lot=TBL_DATA_00_Doc_Merge[Lot]), 0)))&amp;" commences"</f>
        <v>Contracts commences</v>
      </c>
      <c r="I15" s="522" t="str">
        <f>IF(E15&lt;&gt;"", TEXT(E15, "d MMM yy"), "[Delete this row]")</f>
        <v>[Delete this row]</v>
      </c>
    </row>
    <row r="16" spans="1:9" ht="13">
      <c r="B16" s="298" t="s">
        <v>462</v>
      </c>
      <c r="C16" s="298" t="s">
        <v>462</v>
      </c>
      <c r="E16" s="519" t="str">
        <f t="array" ref="E16">IF(C16&lt;&gt;"", IF(INDEX(TBL_ADD_03_Dates[Date], MATCH(1, ($B16=TBL_ADD_03_Dates[Stage])*(C16=TBL_ADD_03_Dates[Activity]),0))&lt;&gt;"", INDEX(TBL_ADD_03_Dates[Date], MATCH(1, ($B16=TBL_ADD_03_Dates[Stage])*(C16=TBL_ADD_03_Dates[Activity]),0)), ""), "")</f>
        <v/>
      </c>
      <c r="F16" s="519" t="str">
        <f t="array" ref="F16">IF(D16&lt;&gt;"", IF(INDEX(TBL_ADD_03_Dates[Date], MATCH(1, ($B16=TBL_ADD_03_Dates[Stage])*(D16=TBL_ADD_03_Dates[Activity]),0))&lt;&gt;"", INDEX(TBL_ADD_03_Dates[Date], MATCH(1, ($B16=TBL_ADD_03_Dates[Stage])*(D16=TBL_ADD_03_Dates[Activity]),0)), ""), "")</f>
        <v/>
      </c>
      <c r="G16" s="683"/>
      <c r="H16" s="521" t="s">
        <v>2108</v>
      </c>
      <c r="I16" s="522" t="str">
        <f>IF(E16&lt;&gt;"", TEXT(E16, "d MMM yy"), "[Delete this row]")</f>
        <v>[Delete this row]</v>
      </c>
    </row>
  </sheetData>
  <sheetProtection algorithmName="SHA-512" hashValue="uxsbaLQojcre67wCKmK5I9KJU6RjvYqF4xdWqe4ePi3rLF8zR6m45zYo+5VMvnkGD8bK37NSEWGatgAqBQsNoA==" saltValue="6YiTm6Qq1ZCd8LOThys0tg==" spinCount="100000" sheet="1" objects="1" scenarios="1"/>
  <mergeCells count="3">
    <mergeCell ref="G6:G11"/>
    <mergeCell ref="G12:G13"/>
    <mergeCell ref="G14:G16"/>
  </mergeCells>
  <phoneticPr fontId="106" type="noConversion"/>
  <conditionalFormatting sqref="G1:I1048576">
    <cfRule type="endsWith" dxfId="131" priority="7" operator="endsWith" text="]">
      <formula>RIGHT(G1,LEN("]"))="]"</formula>
    </cfRule>
    <cfRule type="expression" dxfId="130" priority="8">
      <formula>INDIRECT("A"&amp;ROW())="Shade"</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9C8D1-32A7-493E-9C20-117BBF1A3A5A}">
  <sheetPr codeName="Sheet41">
    <tabColor rgb="FFFFFF00"/>
  </sheetPr>
  <dimension ref="A1:X20"/>
  <sheetViews>
    <sheetView topLeftCell="E1" workbookViewId="0">
      <pane ySplit="3" topLeftCell="A4" activePane="bottomLeft" state="frozen"/>
      <selection activeCell="D1" sqref="D1"/>
      <selection pane="bottomLeft" activeCell="W1" sqref="E1:W1048576"/>
    </sheetView>
  </sheetViews>
  <sheetFormatPr defaultColWidth="8.6328125" defaultRowHeight="12.5"/>
  <cols>
    <col min="1" max="1" width="8.6328125" style="100" hidden="1" customWidth="1"/>
    <col min="2" max="2" width="8.36328125" style="100" hidden="1" customWidth="1"/>
    <col min="3" max="4" width="8.6328125" style="100" hidden="1" customWidth="1"/>
    <col min="5" max="5" width="6.6328125" style="511" hidden="1" customWidth="1"/>
    <col min="6" max="6" width="9.6328125" style="331" hidden="1" customWidth="1"/>
    <col min="7" max="7" width="8.54296875" style="331" hidden="1" customWidth="1"/>
    <col min="8" max="8" width="10.36328125" style="331" hidden="1" customWidth="1"/>
    <col min="9" max="9" width="33.6328125" style="330" hidden="1" customWidth="1"/>
    <col min="10" max="10" width="4.36328125" style="330" hidden="1" customWidth="1"/>
    <col min="11" max="11" width="6.6328125" style="511" hidden="1" customWidth="1"/>
    <col min="12" max="12" width="9.6328125" style="331" hidden="1" customWidth="1"/>
    <col min="13" max="13" width="8.54296875" style="331" hidden="1" customWidth="1"/>
    <col min="14" max="14" width="10.36328125" style="331" hidden="1" customWidth="1"/>
    <col min="15" max="15" width="33.6328125" style="332" hidden="1" customWidth="1"/>
    <col min="16" max="16" width="4.36328125" style="330" hidden="1" customWidth="1"/>
    <col min="17" max="17" width="6.6328125" style="511" hidden="1" customWidth="1"/>
    <col min="18" max="18" width="9.6328125" style="331" hidden="1" customWidth="1"/>
    <col min="19" max="19" width="8.54296875" style="331" hidden="1" customWidth="1"/>
    <col min="20" max="20" width="10.36328125" style="331" hidden="1" customWidth="1"/>
    <col min="21" max="21" width="33.6328125" style="332" hidden="1" customWidth="1"/>
    <col min="22" max="23" width="0" hidden="1" customWidth="1"/>
    <col min="24" max="24" width="8.90625" customWidth="1"/>
    <col min="25" max="16384" width="8.6328125" style="100"/>
  </cols>
  <sheetData>
    <row r="1" spans="1:21" ht="17.5">
      <c r="E1" s="88" t="s">
        <v>2081</v>
      </c>
      <c r="Q1" s="514"/>
      <c r="R1" s="469"/>
    </row>
    <row r="2" spans="1:21" ht="15.5">
      <c r="K2" s="514"/>
      <c r="L2" s="469"/>
      <c r="Q2" s="514"/>
      <c r="R2" s="469"/>
    </row>
    <row r="3" spans="1:21" ht="15.5">
      <c r="E3" s="62" t="s">
        <v>2082</v>
      </c>
      <c r="K3" s="62" t="s">
        <v>2084</v>
      </c>
      <c r="L3" s="504"/>
      <c r="Q3" s="62" t="s">
        <v>2085</v>
      </c>
      <c r="R3" s="504"/>
    </row>
    <row r="4" spans="1:21" ht="15.5">
      <c r="E4" s="62"/>
      <c r="K4" s="514"/>
      <c r="L4" s="469"/>
      <c r="Q4" s="514"/>
      <c r="R4" s="469"/>
    </row>
    <row r="5" spans="1:21" ht="26" customHeight="1">
      <c r="A5" s="502" t="str">
        <f>IF(OR('Project Info'!$K$14="Open Procedure", 'Project Info'!$K$28="SQ"), "", "Shade")</f>
        <v/>
      </c>
      <c r="B5" s="100" t="str">
        <f>IF(OR('Project Info'!$K$28="SQ", REF_Split_Price=100), "Shade", "")</f>
        <v/>
      </c>
      <c r="C5" s="100" t="str">
        <f>IF(OR('Project Info'!$K$28="SQ", REF_Split_Price=100, REF_Int_or_SV="Not applicable"), "Shade", "")</f>
        <v>Shade</v>
      </c>
      <c r="E5" s="684" t="s">
        <v>2083</v>
      </c>
      <c r="F5" s="685"/>
      <c r="G5" s="685"/>
      <c r="H5" s="685"/>
      <c r="I5" s="686"/>
      <c r="K5" s="684" t="s">
        <v>2083</v>
      </c>
      <c r="L5" s="685"/>
      <c r="M5" s="685"/>
      <c r="N5" s="685"/>
      <c r="O5" s="686"/>
      <c r="Q5" s="684" t="s">
        <v>2083</v>
      </c>
      <c r="R5" s="685"/>
      <c r="S5" s="685"/>
      <c r="T5" s="685"/>
      <c r="U5" s="686"/>
    </row>
    <row r="6" spans="1:21" ht="26">
      <c r="A6" s="502" t="str">
        <f>IF(OR('Project Info'!$K$14="Open Procedure", 'Project Info'!$K$28="SQ"), "", "Shade")</f>
        <v/>
      </c>
      <c r="B6" s="100" t="str">
        <f>IF(OR('Project Info'!$K$28="SQ", REF_Split_Price=100), "Shade", "")</f>
        <v/>
      </c>
      <c r="C6" s="100" t="str">
        <f>IF(OR('Project Info'!$K$28="SQ", REF_Split_Price=100, REF_Int_or_SV="Not applicable"), "Shade", "")</f>
        <v>Shade</v>
      </c>
      <c r="E6" s="63" t="s">
        <v>395</v>
      </c>
      <c r="F6" s="503" t="s">
        <v>2080</v>
      </c>
      <c r="G6" s="503" t="s">
        <v>396</v>
      </c>
      <c r="H6" s="503" t="str">
        <f>IF(REF_Select_Weighted="Yes", "Weighting", "[Delete column]")</f>
        <v>[Delete column]</v>
      </c>
      <c r="I6" s="63" t="str">
        <f>IF(REF_Select_Weighted="Yes", "Formula to weight the question score", "[Delete column]")</f>
        <v>[Delete column]</v>
      </c>
      <c r="K6" s="63" t="s">
        <v>395</v>
      </c>
      <c r="L6" s="503" t="s">
        <v>2080</v>
      </c>
      <c r="M6" s="503" t="s">
        <v>396</v>
      </c>
      <c r="N6" s="503" t="str">
        <f>IF(REF_Tech_Weighted="Yes", "Weighting", "[Delete column]")</f>
        <v>Weighting</v>
      </c>
      <c r="O6" s="63" t="str">
        <f>IF(REF_Tech_Weighted="Yes", "Formula to weight the question score", "[Delete column]")</f>
        <v>Formula to weight the question score</v>
      </c>
      <c r="Q6" s="515" t="s">
        <v>395</v>
      </c>
      <c r="R6" s="205" t="s">
        <v>2080</v>
      </c>
      <c r="S6" s="205" t="s">
        <v>396</v>
      </c>
      <c r="T6" s="205" t="str">
        <f>IF(REF_IntSV_Weighted="Yes", "Weighting", "[Delete column]")</f>
        <v>[Delete column]</v>
      </c>
      <c r="U6" s="206" t="str">
        <f>IF(REF_IntSV_Weighted="Yes", "Formula to weight the question score", "[Delete column]")</f>
        <v>[Delete column]</v>
      </c>
    </row>
    <row r="7" spans="1:21" ht="26">
      <c r="A7" s="502" t="str">
        <f>IF(OR('Project Info'!$K$14="Open Procedure", 'Project Info'!$K$28="SQ"), "", "Shade")</f>
        <v/>
      </c>
      <c r="B7" s="100" t="str">
        <f>IF(OR('Project Info'!$K$28="SQ", REF_Split_Price=100), "Shade", "")</f>
        <v/>
      </c>
      <c r="C7" s="100" t="str">
        <f>IF(OR('Project Info'!$K$28="SQ", REF_Split_Price=100, REF_Int_or_SV="Not applicable"), "Shade", "")</f>
        <v>Shade</v>
      </c>
      <c r="D7" s="100" t="s">
        <v>220</v>
      </c>
      <c r="E7" s="508" t="s">
        <v>220</v>
      </c>
      <c r="F7" s="333">
        <f t="array" ref="F7">IF(AND(E7="Q6.2", REF_CCS_Q="Yes"), "N/A", IF(INDEX(TBL_ADD_04_Qs_All[No.subs], MATCH(1, ($D7=TBL_ADD_04_Qs_All[Q.])*("Question"=TBL_ADD_04_Qs_All[Type])*("Select"=TBL_ADD_04_Qs_All[Section]),0))="-", "[Delete this row]", INDEX(TBL_ADD_04_Qs_All[No.subs], MATCH(1, ($D7=TBL_ADD_04_Qs_All[Q.])*("Question"=TBL_ADD_04_Qs_All[Type])*("Select"=TBL_ADD_04_Qs_All[Section]),0))))</f>
        <v>3</v>
      </c>
      <c r="G7" s="333">
        <f t="array" ref="G7">IF(AND(E7="Q6.2", REF_CCS_Q="Yes"), "N/A", IF(INDEX(TBL_ADD_04_Qs_All[Max score], MATCH(1, ($D7=TBL_ADD_04_Qs_All[Q.])*("Question"=TBL_ADD_04_Qs_All[Type])*("Select"=TBL_ADD_04_Qs_All[Section]),0))="-", "[Delete this row]", INDEX(TBL_ADD_04_Qs_All[Max score], MATCH(1, ($D7=TBL_ADD_04_Qs_All[Q.])*("Question"=TBL_ADD_04_Qs_All[Type])*("Select"=TBL_ADD_04_Qs_All[Section]),0))))</f>
        <v>15</v>
      </c>
      <c r="H7" s="333" t="str">
        <f t="array" ref="H7">IF(OR(REF_Select_Weighted="No", AND(E7="Q6.2", REF_CCS_Q="Yes")), "N/A", IF(INDEX(TBL_ADD_04_Qs_All[Weighting], MATCH(1, ($D7=TBL_ADD_04_Qs_All[Q.])*("Question"=TBL_ADD_04_Qs_All[Type])*("Select"=TBL_ADD_04_Qs_All[Section]),0))="-", "[Delete this row]", INDEX(TBL_ADD_04_Qs_All[Weighting], MATCH(1, ($D7=TBL_ADD_04_Qs_All[Q.])*("Question"=TBL_ADD_04_Qs_All[Type])*("Select"=TBL_ADD_04_Qs_All[Section]),0))))</f>
        <v>N/A</v>
      </c>
      <c r="I7" s="501" t="str">
        <f t="shared" ref="I7:I19" si="0">IF(OR(REF_Select_Weighted="No", AND(E7="Q6.2", REF_CCS_Q="Yes")), "N/A", CONCATENATE("(Score awarded ÷ ", G7, ".00) x ", H7, ".00"))</f>
        <v>N/A</v>
      </c>
      <c r="K7" s="510" t="s">
        <v>1313</v>
      </c>
      <c r="L7" s="507">
        <f t="array" ref="L7">IF(INDEX(TBL_ADD_04_Qs_All[No.subs], MATCH(1, (K7=TBL_ADD_04_Qs_All[Q.])*("Question"=TBL_ADD_04_Qs_All[Type])*("Tech"=TBL_ADD_04_Qs_All[Section]),0))="-", "[Delete this row]", INDEX(TBL_ADD_04_Qs_All[No.subs], MATCH(1, (K7=TBL_ADD_04_Qs_All[Q.])*("Question"=TBL_ADD_04_Qs_All[Type])*("Tech"=TBL_ADD_04_Qs_All[Section]),0)))</f>
        <v>0</v>
      </c>
      <c r="M7" s="507">
        <f t="array" ref="M7">IF(INDEX(TBL_ADD_04_Qs_All[Max score], MATCH(1, (K7=TBL_ADD_04_Qs_All[Q.])*("Question"=TBL_ADD_04_Qs_All[Type])*("Tech"=TBL_ADD_04_Qs_All[Section]),0))="-", "[Delete this row]", INDEX(TBL_ADD_04_Qs_All[Max score], MATCH(1, (K7=TBL_ADD_04_Qs_All[Q.])*("Question"=TBL_ADD_04_Qs_All[Type])*("Tech"=TBL_ADD_04_Qs_All[Section]),0)))</f>
        <v>0</v>
      </c>
      <c r="N7" s="507" t="str">
        <f t="array" ref="N7">IF(REF_Tech_Weighted="No", "N/A", IF(INDEX(TBL_ADD_04_Qs_All[Weighting], MATCH(1, (K7=TBL_ADD_04_Qs_All[Q.])*("Question"=TBL_ADD_04_Qs_All[Type])*("Tech"=TBL_ADD_04_Qs_All[Section]),0))="-", "[Delete this row]", INDEX(TBL_ADD_04_Qs_All[Weighting], MATCH(1, (K7=TBL_ADD_04_Qs_All[Q.])*("Question"=TBL_ADD_04_Qs_All[Type])*("Tech"=TBL_ADD_04_Qs_All[Section]),0))))</f>
        <v/>
      </c>
      <c r="O7" s="253" t="str">
        <f t="array" ref="O7">IF(REF_Tech_Weighted="No", "N/A", CONCATENATE("(Score awarded ÷ ", M7, ".00) x ", N7, ".00"))</f>
        <v>(Score awarded ÷ 0.00) x .00</v>
      </c>
      <c r="Q7" s="508" t="s">
        <v>1323</v>
      </c>
      <c r="R7" s="507" t="str">
        <f t="array" ref="R7">IF(INDEX(TBL_ADD_04_Qs_All[No.subs], MATCH(1, (Q7=TBL_ADD_04_Qs_All[Q.])*("Question"=TBL_ADD_04_Qs_All[Type])*("IntSV"=TBL_ADD_04_Qs_All[Section]),0))="-", "[Delete this row]", INDEX(TBL_ADD_04_Qs_All[No.subs], MATCH(1, (Q7=TBL_ADD_04_Qs_All[Q.])*("Question"=TBL_ADD_04_Qs_All[Type])*("IntSV"=TBL_ADD_04_Qs_All[Section]),0)))</f>
        <v>[Delete this row]</v>
      </c>
      <c r="S7" s="507" t="str">
        <f t="array" ref="S7">IF(INDEX(TBL_ADD_04_Qs_All[Max score], MATCH(1, (Q7=TBL_ADD_04_Qs_All[Q.])*("Question"=TBL_ADD_04_Qs_All[Type])*("IntSV"=TBL_ADD_04_Qs_All[Section]),0))="-", "[Delete this row]", INDEX(TBL_ADD_04_Qs_All[Max score], MATCH(1, (Q7=TBL_ADD_04_Qs_All[Q.])*("Question"=TBL_ADD_04_Qs_All[Type])*("IntSV"=TBL_ADD_04_Qs_All[Section]),0)))</f>
        <v>[Delete this row]</v>
      </c>
      <c r="T7" s="507" t="str">
        <f t="array" ref="T7">IF(REF_IntSV_Weighted="No", "N/A", IF(INDEX(TBL_ADD_04_Qs_All[Weighting], MATCH(1, (Q7=TBL_ADD_04_Qs_All[Q.])*("Question"=TBL_ADD_04_Qs_All[Type])*("IntSV"=TBL_ADD_04_Qs_All[Section]),0))="-", "[Delete this row]", INDEX(TBL_ADD_04_Qs_All[Weighting], MATCH(1, (Q7=TBL_ADD_04_Qs_All[Q.])*("Question"=TBL_ADD_04_Qs_All[Type])*("IntSV"=TBL_ADD_04_Qs_All[Section]),0))))</f>
        <v>[Delete this row]</v>
      </c>
      <c r="U7" s="253" t="str">
        <f t="array" ref="U7">IF(REF_IntSV_Weighted="No", "N/A", CONCATENATE("(Score awarded ÷ ", S7, ".00) x ", T7, ".00"))</f>
        <v>(Score awarded ÷ [Delete this row].00) x [Delete this row].00</v>
      </c>
    </row>
    <row r="8" spans="1:21" ht="26">
      <c r="A8" s="502" t="str">
        <f>IF(OR('Project Info'!$K$14="Open Procedure", 'Project Info'!$K$28="SQ"), "", "Shade")</f>
        <v/>
      </c>
      <c r="B8" s="100" t="str">
        <f>IF(OR('Project Info'!$K$28="SQ", REF_Split_Price=100), "Shade", "")</f>
        <v/>
      </c>
      <c r="C8" s="100" t="str">
        <f>IF(OR('Project Info'!$K$28="SQ", REF_Split_Price=100, REF_Int_or_SV="Not applicable"), "Shade", "")</f>
        <v>Shade</v>
      </c>
      <c r="D8" s="100" t="s">
        <v>224</v>
      </c>
      <c r="E8" s="508" t="s">
        <v>224</v>
      </c>
      <c r="F8" s="333">
        <f t="array" ref="F8">IF(AND(E8="Q6.2", REF_CCS_Q="Yes"), "N/A", IF(INDEX(TBL_ADD_04_Qs_All[No.subs], MATCH(1, ($D8=TBL_ADD_04_Qs_All[Q.])*("Question"=TBL_ADD_04_Qs_All[Type])*("Select"=TBL_ADD_04_Qs_All[Section]),0))="-", "[Delete this row]", INDEX(TBL_ADD_04_Qs_All[No.subs], MATCH(1, ($D8=TBL_ADD_04_Qs_All[Q.])*("Question"=TBL_ADD_04_Qs_All[Type])*("Select"=TBL_ADD_04_Qs_All[Section]),0))))</f>
        <v>0</v>
      </c>
      <c r="G8" s="333">
        <f t="array" ref="G8">IF(AND(E8="Q6.2", REF_CCS_Q="Yes"), "N/A", IF(INDEX(TBL_ADD_04_Qs_All[Max score], MATCH(1, ($D8=TBL_ADD_04_Qs_All[Q.])*("Question"=TBL_ADD_04_Qs_All[Type])*("Select"=TBL_ADD_04_Qs_All[Section]),0))="-", "[Delete this row]", INDEX(TBL_ADD_04_Qs_All[Max score], MATCH(1, ($D8=TBL_ADD_04_Qs_All[Q.])*("Question"=TBL_ADD_04_Qs_All[Type])*("Select"=TBL_ADD_04_Qs_All[Section]),0))))</f>
        <v>0</v>
      </c>
      <c r="H8" s="333" t="str">
        <f t="array" ref="H8">IF(OR(REF_Select_Weighted="No", AND(E8="Q6.2", REF_CCS_Q="Yes")), "N/A", IF(INDEX(TBL_ADD_04_Qs_All[Weighting], MATCH(1, ($D8=TBL_ADD_04_Qs_All[Q.])*("Question"=TBL_ADD_04_Qs_All[Type])*("Select"=TBL_ADD_04_Qs_All[Section]),0))="-", "[Delete this row]", INDEX(TBL_ADD_04_Qs_All[Weighting], MATCH(1, ($D8=TBL_ADD_04_Qs_All[Q.])*("Question"=TBL_ADD_04_Qs_All[Type])*("Select"=TBL_ADD_04_Qs_All[Section]),0))))</f>
        <v>N/A</v>
      </c>
      <c r="I8" s="501" t="str">
        <f t="shared" si="0"/>
        <v>N/A</v>
      </c>
      <c r="K8" s="508" t="s">
        <v>1314</v>
      </c>
      <c r="L8" s="507">
        <f t="array" ref="L8">IF(INDEX(TBL_ADD_04_Qs_All[No.subs], MATCH(1, (K8=TBL_ADD_04_Qs_All[Q.])*("Question"=TBL_ADD_04_Qs_All[Type])*("Tech"=TBL_ADD_04_Qs_All[Section]),0))="-", "[Delete this row]", INDEX(TBL_ADD_04_Qs_All[No.subs], MATCH(1, (K8=TBL_ADD_04_Qs_All[Q.])*("Question"=TBL_ADD_04_Qs_All[Type])*("Tech"=TBL_ADD_04_Qs_All[Section]),0)))</f>
        <v>0</v>
      </c>
      <c r="M8" s="507">
        <f t="array" ref="M8">IF(INDEX(TBL_ADD_04_Qs_All[Max score], MATCH(1, (K8=TBL_ADD_04_Qs_All[Q.])*("Question"=TBL_ADD_04_Qs_All[Type])*("Tech"=TBL_ADD_04_Qs_All[Section]),0))="-", "[Delete this row]", INDEX(TBL_ADD_04_Qs_All[Max score], MATCH(1, (K8=TBL_ADD_04_Qs_All[Q.])*("Question"=TBL_ADD_04_Qs_All[Type])*("Tech"=TBL_ADD_04_Qs_All[Section]),0)))</f>
        <v>0</v>
      </c>
      <c r="N8" s="507" t="str">
        <f t="array" ref="N8">IF(REF_Tech_Weighted="No", "N/A", IF(INDEX(TBL_ADD_04_Qs_All[Weighting], MATCH(1, (K8=TBL_ADD_04_Qs_All[Q.])*("Question"=TBL_ADD_04_Qs_All[Type])*("Tech"=TBL_ADD_04_Qs_All[Section]),0))="-", "[Delete this row]", INDEX(TBL_ADD_04_Qs_All[Weighting], MATCH(1, (K8=TBL_ADD_04_Qs_All[Q.])*("Question"=TBL_ADD_04_Qs_All[Type])*("Tech"=TBL_ADD_04_Qs_All[Section]),0))))</f>
        <v/>
      </c>
      <c r="O8" s="253" t="str">
        <f t="array" ref="O8">IF(REF_Tech_Weighted="No", "N/A", CONCATENATE("(Score awarded ÷ ", M8, ".00) x ", N8, ".00"))</f>
        <v>(Score awarded ÷ 0.00) x .00</v>
      </c>
      <c r="Q8" s="508" t="s">
        <v>1324</v>
      </c>
      <c r="R8" s="507" t="str">
        <f t="array" ref="R8">IF(INDEX(TBL_ADD_04_Qs_All[No.subs], MATCH(1, (Q8=TBL_ADD_04_Qs_All[Q.])*("Question"=TBL_ADD_04_Qs_All[Type])*("IntSV"=TBL_ADD_04_Qs_All[Section]),0))="-", "[Delete this row]", INDEX(TBL_ADD_04_Qs_All[No.subs], MATCH(1, (Q8=TBL_ADD_04_Qs_All[Q.])*("Question"=TBL_ADD_04_Qs_All[Type])*("IntSV"=TBL_ADD_04_Qs_All[Section]),0)))</f>
        <v>[Delete this row]</v>
      </c>
      <c r="S8" s="507" t="str">
        <f t="array" ref="S8">IF(INDEX(TBL_ADD_04_Qs_All[Max score], MATCH(1, (Q8=TBL_ADD_04_Qs_All[Q.])*("Question"=TBL_ADD_04_Qs_All[Type])*("IntSV"=TBL_ADD_04_Qs_All[Section]),0))="-", "[Delete this row]", INDEX(TBL_ADD_04_Qs_All[Max score], MATCH(1, (Q8=TBL_ADD_04_Qs_All[Q.])*("Question"=TBL_ADD_04_Qs_All[Type])*("IntSV"=TBL_ADD_04_Qs_All[Section]),0)))</f>
        <v>[Delete this row]</v>
      </c>
      <c r="T8" s="507" t="str">
        <f t="array" ref="T8">IF(REF_IntSV_Weighted="No", "N/A", IF(INDEX(TBL_ADD_04_Qs_All[Weighting], MATCH(1, (Q8=TBL_ADD_04_Qs_All[Q.])*("Question"=TBL_ADD_04_Qs_All[Type])*("IntSV"=TBL_ADD_04_Qs_All[Section]),0))="-", "[Delete this row]", INDEX(TBL_ADD_04_Qs_All[Weighting], MATCH(1, (Q8=TBL_ADD_04_Qs_All[Q.])*("Question"=TBL_ADD_04_Qs_All[Type])*("IntSV"=TBL_ADD_04_Qs_All[Section]),0))))</f>
        <v>[Delete this row]</v>
      </c>
      <c r="U8" s="253" t="str">
        <f t="array" ref="U8">IF(REF_IntSV_Weighted="No", "N/A", CONCATENATE("(Score awarded ÷ ", S8, ".00) x ", T8, ".00"))</f>
        <v>(Score awarded ÷ [Delete this row].00) x [Delete this row].00</v>
      </c>
    </row>
    <row r="9" spans="1:21" ht="26">
      <c r="A9" s="502" t="str">
        <f>IF(OR('Project Info'!$K$14="Open Procedure", 'Project Info'!$K$28="SQ"), "", "Shade")</f>
        <v/>
      </c>
      <c r="B9" s="100" t="str">
        <f>IF(OR('Project Info'!$K$28="SQ", REF_Split_Price=100), "Shade", "")</f>
        <v/>
      </c>
      <c r="C9" s="100" t="str">
        <f>IF(OR('Project Info'!$K$28="SQ", REF_Split_Price=100, REF_Int_or_SV="Not applicable"), "Shade", "")</f>
        <v>Shade</v>
      </c>
      <c r="D9" t="s">
        <v>225</v>
      </c>
      <c r="E9" s="509" t="str">
        <f t="array" ref="E9">IF(INDEX(TBL_DATA_00_Doc_Merge[PAS_or_SQ], MATCH(1, (REF_Job_No=TBL_DATA_00_Doc_Merge[Job_No])*(REF_Doc_Lot=TBL_DATA_00_Doc_Merge[Lot]),0))="SQ", "Q6.3*", "Q6.3")</f>
        <v>Q6.3</v>
      </c>
      <c r="F9" s="333">
        <f t="array" ref="F9">IF(AND(E9="Q6.2", REF_CCS_Q="Yes"), "N/A", IF(INDEX(TBL_ADD_04_Qs_All[No.subs], MATCH(1, ($D9=TBL_ADD_04_Qs_All[Q.])*("Question"=TBL_ADD_04_Qs_All[Type])*("Select"=TBL_ADD_04_Qs_All[Section]),0))="-", "[Delete this row]", INDEX(TBL_ADD_04_Qs_All[No.subs], MATCH(1, ($D9=TBL_ADD_04_Qs_All[Q.])*("Question"=TBL_ADD_04_Qs_All[Type])*("Select"=TBL_ADD_04_Qs_All[Section]),0))))</f>
        <v>1</v>
      </c>
      <c r="G9" s="333">
        <f t="array" ref="G9">IF(AND(E9="Q6.2", REF_CCS_Q="Yes"), "N/A", IF(INDEX(TBL_ADD_04_Qs_All[Max score], MATCH(1, ($D9=TBL_ADD_04_Qs_All[Q.])*("Question"=TBL_ADD_04_Qs_All[Type])*("Select"=TBL_ADD_04_Qs_All[Section]),0))="-", "[Delete this row]", INDEX(TBL_ADD_04_Qs_All[Max score], MATCH(1, ($D9=TBL_ADD_04_Qs_All[Q.])*("Question"=TBL_ADD_04_Qs_All[Type])*("Select"=TBL_ADD_04_Qs_All[Section]),0))))</f>
        <v>5</v>
      </c>
      <c r="H9" s="333" t="str">
        <f t="array" ref="H9">IF(OR(REF_Select_Weighted="No", AND(E9="Q6.2", REF_CCS_Q="Yes")), "N/A", IF(INDEX(TBL_ADD_04_Qs_All[Weighting], MATCH(1, ($D9=TBL_ADD_04_Qs_All[Q.])*("Question"=TBL_ADD_04_Qs_All[Type])*("Select"=TBL_ADD_04_Qs_All[Section]),0))="-", "[Delete this row]", INDEX(TBL_ADD_04_Qs_All[Weighting], MATCH(1, ($D9=TBL_ADD_04_Qs_All[Q.])*("Question"=TBL_ADD_04_Qs_All[Type])*("Select"=TBL_ADD_04_Qs_All[Section]),0))))</f>
        <v>N/A</v>
      </c>
      <c r="I9" s="501" t="str">
        <f t="shared" si="0"/>
        <v>N/A</v>
      </c>
      <c r="K9" s="508" t="s">
        <v>1315</v>
      </c>
      <c r="L9" s="507">
        <f t="array" ref="L9">IF(INDEX(TBL_ADD_04_Qs_All[No.subs], MATCH(1, (K9=TBL_ADD_04_Qs_All[Q.])*("Question"=TBL_ADD_04_Qs_All[Type])*("Tech"=TBL_ADD_04_Qs_All[Section]),0))="-", "[Delete this row]", INDEX(TBL_ADD_04_Qs_All[No.subs], MATCH(1, (K9=TBL_ADD_04_Qs_All[Q.])*("Question"=TBL_ADD_04_Qs_All[Type])*("Tech"=TBL_ADD_04_Qs_All[Section]),0)))</f>
        <v>0</v>
      </c>
      <c r="M9" s="507">
        <f t="array" ref="M9">IF(INDEX(TBL_ADD_04_Qs_All[Max score], MATCH(1, (K9=TBL_ADD_04_Qs_All[Q.])*("Question"=TBL_ADD_04_Qs_All[Type])*("Tech"=TBL_ADD_04_Qs_All[Section]),0))="-", "[Delete this row]", INDEX(TBL_ADD_04_Qs_All[Max score], MATCH(1, (K9=TBL_ADD_04_Qs_All[Q.])*("Question"=TBL_ADD_04_Qs_All[Type])*("Tech"=TBL_ADD_04_Qs_All[Section]),0)))</f>
        <v>0</v>
      </c>
      <c r="N9" s="507" t="str">
        <f t="array" ref="N9">IF(REF_Tech_Weighted="No", "N/A", IF(INDEX(TBL_ADD_04_Qs_All[Weighting], MATCH(1, (K9=TBL_ADD_04_Qs_All[Q.])*("Question"=TBL_ADD_04_Qs_All[Type])*("Tech"=TBL_ADD_04_Qs_All[Section]),0))="-", "[Delete this row]", INDEX(TBL_ADD_04_Qs_All[Weighting], MATCH(1, (K9=TBL_ADD_04_Qs_All[Q.])*("Question"=TBL_ADD_04_Qs_All[Type])*("Tech"=TBL_ADD_04_Qs_All[Section]),0))))</f>
        <v/>
      </c>
      <c r="O9" s="253" t="str">
        <f t="array" ref="O9">IF(REF_Tech_Weighted="No", "N/A", CONCATENATE("(Score awarded ÷ ", M9, ".00) x ", N9, ".00"))</f>
        <v>(Score awarded ÷ 0.00) x .00</v>
      </c>
      <c r="Q9" s="508" t="s">
        <v>1325</v>
      </c>
      <c r="R9" s="507" t="str">
        <f t="array" ref="R9">IF(INDEX(TBL_ADD_04_Qs_All[No.subs], MATCH(1, (Q9=TBL_ADD_04_Qs_All[Q.])*("Question"=TBL_ADD_04_Qs_All[Type])*("IntSV"=TBL_ADD_04_Qs_All[Section]),0))="-", "[Delete this row]", INDEX(TBL_ADD_04_Qs_All[No.subs], MATCH(1, (Q9=TBL_ADD_04_Qs_All[Q.])*("Question"=TBL_ADD_04_Qs_All[Type])*("IntSV"=TBL_ADD_04_Qs_All[Section]),0)))</f>
        <v>[Delete this row]</v>
      </c>
      <c r="S9" s="507" t="str">
        <f t="array" ref="S9">IF(INDEX(TBL_ADD_04_Qs_All[Max score], MATCH(1, (Q9=TBL_ADD_04_Qs_All[Q.])*("Question"=TBL_ADD_04_Qs_All[Type])*("IntSV"=TBL_ADD_04_Qs_All[Section]),0))="-", "[Delete this row]", INDEX(TBL_ADD_04_Qs_All[Max score], MATCH(1, (Q9=TBL_ADD_04_Qs_All[Q.])*("Question"=TBL_ADD_04_Qs_All[Type])*("IntSV"=TBL_ADD_04_Qs_All[Section]),0)))</f>
        <v>[Delete this row]</v>
      </c>
      <c r="T9" s="507" t="str">
        <f t="array" ref="T9">IF(REF_IntSV_Weighted="No", "N/A", IF(INDEX(TBL_ADD_04_Qs_All[Weighting], MATCH(1, (Q9=TBL_ADD_04_Qs_All[Q.])*("Question"=TBL_ADD_04_Qs_All[Type])*("IntSV"=TBL_ADD_04_Qs_All[Section]),0))="-", "[Delete this row]", INDEX(TBL_ADD_04_Qs_All[Weighting], MATCH(1, (Q9=TBL_ADD_04_Qs_All[Q.])*("Question"=TBL_ADD_04_Qs_All[Type])*("IntSV"=TBL_ADD_04_Qs_All[Section]),0))))</f>
        <v>[Delete this row]</v>
      </c>
      <c r="U9" s="253" t="str">
        <f t="array" ref="U9">IF(REF_IntSV_Weighted="No", "N/A", CONCATENATE("(Score awarded ÷ ", S9, ".00) x ", T9, ".00"))</f>
        <v>(Score awarded ÷ [Delete this row].00) x [Delete this row].00</v>
      </c>
    </row>
    <row r="10" spans="1:21" ht="26">
      <c r="A10" s="502" t="str">
        <f>IF(OR('Project Info'!$K$14="Open Procedure", 'Project Info'!$K$28="SQ"), "", "Shade")</f>
        <v/>
      </c>
      <c r="B10" s="100" t="str">
        <f>IF(OR('Project Info'!$K$28="SQ", REF_Split_Price=100), "Shade", "")</f>
        <v/>
      </c>
      <c r="C10" s="100" t="str">
        <f>IF(OR('Project Info'!$K$28="SQ", REF_Split_Price=100, REF_Int_or_SV="Not applicable"), "Shade", "")</f>
        <v>Shade</v>
      </c>
      <c r="D10" s="100" t="s">
        <v>153</v>
      </c>
      <c r="E10" s="508" t="s">
        <v>153</v>
      </c>
      <c r="F10" s="333">
        <f t="array" ref="F10">IF(AND(E10="Q6.2", REF_CCS_Q="Yes"), "N/A", IF(INDEX(TBL_ADD_04_Qs_All[No.subs], MATCH(1, ($D10=TBL_ADD_04_Qs_All[Q.])*("Question"=TBL_ADD_04_Qs_All[Type])*("Select"=TBL_ADD_04_Qs_All[Section]),0))="-", "[Delete this row]", INDEX(TBL_ADD_04_Qs_All[No.subs], MATCH(1, ($D10=TBL_ADD_04_Qs_All[Q.])*("Question"=TBL_ADD_04_Qs_All[Type])*("Select"=TBL_ADD_04_Qs_All[Section]),0))))</f>
        <v>0</v>
      </c>
      <c r="G10" s="333">
        <f t="array" ref="G10">IF(AND(E10="Q6.2", REF_CCS_Q="Yes"), "N/A", IF(INDEX(TBL_ADD_04_Qs_All[Max score], MATCH(1, ($D10=TBL_ADD_04_Qs_All[Q.])*("Question"=TBL_ADD_04_Qs_All[Type])*("Select"=TBL_ADD_04_Qs_All[Section]),0))="-", "[Delete this row]", INDEX(TBL_ADD_04_Qs_All[Max score], MATCH(1, ($D10=TBL_ADD_04_Qs_All[Q.])*("Question"=TBL_ADD_04_Qs_All[Type])*("Select"=TBL_ADD_04_Qs_All[Section]),0))))</f>
        <v>0</v>
      </c>
      <c r="H10" s="333" t="str">
        <f t="array" ref="H10">IF(OR(REF_Select_Weighted="No", AND(E10="Q6.2", REF_CCS_Q="Yes")), "N/A", IF(INDEX(TBL_ADD_04_Qs_All[Weighting], MATCH(1, ($D10=TBL_ADD_04_Qs_All[Q.])*("Question"=TBL_ADD_04_Qs_All[Type])*("Select"=TBL_ADD_04_Qs_All[Section]),0))="-", "[Delete this row]", INDEX(TBL_ADD_04_Qs_All[Weighting], MATCH(1, ($D10=TBL_ADD_04_Qs_All[Q.])*("Question"=TBL_ADD_04_Qs_All[Type])*("Select"=TBL_ADD_04_Qs_All[Section]),0))))</f>
        <v>N/A</v>
      </c>
      <c r="I10" s="501" t="str">
        <f t="shared" si="0"/>
        <v>N/A</v>
      </c>
      <c r="K10" s="508" t="s">
        <v>1316</v>
      </c>
      <c r="L10" s="507">
        <f t="array" ref="L10">IF(INDEX(TBL_ADD_04_Qs_All[No.subs], MATCH(1, (K10=TBL_ADD_04_Qs_All[Q.])*("Question"=TBL_ADD_04_Qs_All[Type])*("Tech"=TBL_ADD_04_Qs_All[Section]),0))="-", "[Delete this row]", INDEX(TBL_ADD_04_Qs_All[No.subs], MATCH(1, (K10=TBL_ADD_04_Qs_All[Q.])*("Question"=TBL_ADD_04_Qs_All[Type])*("Tech"=TBL_ADD_04_Qs_All[Section]),0)))</f>
        <v>0</v>
      </c>
      <c r="M10" s="507">
        <f t="array" ref="M10">IF(INDEX(TBL_ADD_04_Qs_All[Max score], MATCH(1, (K10=TBL_ADD_04_Qs_All[Q.])*("Question"=TBL_ADD_04_Qs_All[Type])*("Tech"=TBL_ADD_04_Qs_All[Section]),0))="-", "[Delete this row]", INDEX(TBL_ADD_04_Qs_All[Max score], MATCH(1, (K10=TBL_ADD_04_Qs_All[Q.])*("Question"=TBL_ADD_04_Qs_All[Type])*("Tech"=TBL_ADD_04_Qs_All[Section]),0)))</f>
        <v>0</v>
      </c>
      <c r="N10" s="507" t="str">
        <f t="array" ref="N10">IF(REF_Tech_Weighted="No", "N/A", IF(INDEX(TBL_ADD_04_Qs_All[Weighting], MATCH(1, (K10=TBL_ADD_04_Qs_All[Q.])*("Question"=TBL_ADD_04_Qs_All[Type])*("Tech"=TBL_ADD_04_Qs_All[Section]),0))="-", "[Delete this row]", INDEX(TBL_ADD_04_Qs_All[Weighting], MATCH(1, (K10=TBL_ADD_04_Qs_All[Q.])*("Question"=TBL_ADD_04_Qs_All[Type])*("Tech"=TBL_ADD_04_Qs_All[Section]),0))))</f>
        <v/>
      </c>
      <c r="O10" s="253" t="str">
        <f t="array" ref="O10">IF(REF_Tech_Weighted="No", "N/A", CONCATENATE("(Score awarded ÷ ", M10, ".00) x ", N10, ".00"))</f>
        <v>(Score awarded ÷ 0.00) x .00</v>
      </c>
      <c r="Q10" s="508" t="s">
        <v>1326</v>
      </c>
      <c r="R10" s="507" t="str">
        <f t="array" ref="R10">IF(INDEX(TBL_ADD_04_Qs_All[No.subs], MATCH(1, (Q10=TBL_ADD_04_Qs_All[Q.])*("Question"=TBL_ADD_04_Qs_All[Type])*("IntSV"=TBL_ADD_04_Qs_All[Section]),0))="-", "[Delete this row]", INDEX(TBL_ADD_04_Qs_All[No.subs], MATCH(1, (Q10=TBL_ADD_04_Qs_All[Q.])*("Question"=TBL_ADD_04_Qs_All[Type])*("IntSV"=TBL_ADD_04_Qs_All[Section]),0)))</f>
        <v>[Delete this row]</v>
      </c>
      <c r="S10" s="507" t="str">
        <f t="array" ref="S10">IF(INDEX(TBL_ADD_04_Qs_All[Max score], MATCH(1, (Q10=TBL_ADD_04_Qs_All[Q.])*("Question"=TBL_ADD_04_Qs_All[Type])*("IntSV"=TBL_ADD_04_Qs_All[Section]),0))="-", "[Delete this row]", INDEX(TBL_ADD_04_Qs_All[Max score], MATCH(1, (Q10=TBL_ADD_04_Qs_All[Q.])*("Question"=TBL_ADD_04_Qs_All[Type])*("IntSV"=TBL_ADD_04_Qs_All[Section]),0)))</f>
        <v>[Delete this row]</v>
      </c>
      <c r="T10" s="507" t="str">
        <f t="array" ref="T10">IF(REF_IntSV_Weighted="No", "N/A", IF(INDEX(TBL_ADD_04_Qs_All[Weighting], MATCH(1, (Q10=TBL_ADD_04_Qs_All[Q.])*("Question"=TBL_ADD_04_Qs_All[Type])*("IntSV"=TBL_ADD_04_Qs_All[Section]),0))="-", "[Delete this row]", INDEX(TBL_ADD_04_Qs_All[Weighting], MATCH(1, (Q10=TBL_ADD_04_Qs_All[Q.])*("Question"=TBL_ADD_04_Qs_All[Type])*("IntSV"=TBL_ADD_04_Qs_All[Section]),0))))</f>
        <v>[Delete this row]</v>
      </c>
      <c r="U10" s="253" t="str">
        <f t="array" ref="U10">IF(REF_IntSV_Weighted="No", "N/A", CONCATENATE("(Score awarded ÷ ", S10, ".00) x ", T10, ".00"))</f>
        <v>(Score awarded ÷ [Delete this row].00) x [Delete this row].00</v>
      </c>
    </row>
    <row r="11" spans="1:21" ht="26">
      <c r="A11" s="502" t="str">
        <f>IF(OR('Project Info'!$K$14="Open Procedure", 'Project Info'!$K$28="SQ"), "", "Shade")</f>
        <v/>
      </c>
      <c r="B11" s="100" t="str">
        <f>IF(OR('Project Info'!$K$28="SQ", REF_Split_Price=100), "Shade", "")</f>
        <v/>
      </c>
      <c r="C11" s="100" t="str">
        <f>IF(OR('Project Info'!$K$28="SQ", REF_Split_Price=100, REF_Int_or_SV="Not applicable"), "Shade", "")</f>
        <v>Shade</v>
      </c>
      <c r="D11" s="100" t="s">
        <v>164</v>
      </c>
      <c r="E11" s="508" t="s">
        <v>164</v>
      </c>
      <c r="F11" s="333">
        <f t="array" ref="F11">IF(AND(E11="Q6.2", REF_CCS_Q="Yes"), "N/A", IF(INDEX(TBL_ADD_04_Qs_All[No.subs], MATCH(1, ($D11=TBL_ADD_04_Qs_All[Q.])*("Question"=TBL_ADD_04_Qs_All[Type])*("Select"=TBL_ADD_04_Qs_All[Section]),0))="-", "[Delete this row]", INDEX(TBL_ADD_04_Qs_All[No.subs], MATCH(1, ($D11=TBL_ADD_04_Qs_All[Q.])*("Question"=TBL_ADD_04_Qs_All[Type])*("Select"=TBL_ADD_04_Qs_All[Section]),0))))</f>
        <v>0</v>
      </c>
      <c r="G11" s="333">
        <f t="array" ref="G11">IF(AND(E11="Q6.2", REF_CCS_Q="Yes"), "N/A", IF(INDEX(TBL_ADD_04_Qs_All[Max score], MATCH(1, ($D11=TBL_ADD_04_Qs_All[Q.])*("Question"=TBL_ADD_04_Qs_All[Type])*("Select"=TBL_ADD_04_Qs_All[Section]),0))="-", "[Delete this row]", INDEX(TBL_ADD_04_Qs_All[Max score], MATCH(1, ($D11=TBL_ADD_04_Qs_All[Q.])*("Question"=TBL_ADD_04_Qs_All[Type])*("Select"=TBL_ADD_04_Qs_All[Section]),0))))</f>
        <v>0</v>
      </c>
      <c r="H11" s="333" t="str">
        <f t="array" ref="H11">IF(OR(REF_Select_Weighted="No", AND(E11="Q6.2", REF_CCS_Q="Yes")), "N/A", IF(INDEX(TBL_ADD_04_Qs_All[Weighting], MATCH(1, ($D11=TBL_ADD_04_Qs_All[Q.])*("Question"=TBL_ADD_04_Qs_All[Type])*("Select"=TBL_ADD_04_Qs_All[Section]),0))="-", "[Delete this row]", INDEX(TBL_ADD_04_Qs_All[Weighting], MATCH(1, ($D11=TBL_ADD_04_Qs_All[Q.])*("Question"=TBL_ADD_04_Qs_All[Type])*("Select"=TBL_ADD_04_Qs_All[Section]),0))))</f>
        <v>N/A</v>
      </c>
      <c r="I11" s="501" t="str">
        <f t="shared" si="0"/>
        <v>N/A</v>
      </c>
      <c r="K11" s="508" t="s">
        <v>1317</v>
      </c>
      <c r="L11" s="507">
        <f t="array" ref="L11">IF(INDEX(TBL_ADD_04_Qs_All[No.subs], MATCH(1, (K11=TBL_ADD_04_Qs_All[Q.])*("Question"=TBL_ADD_04_Qs_All[Type])*("Tech"=TBL_ADD_04_Qs_All[Section]),0))="-", "[Delete this row]", INDEX(TBL_ADD_04_Qs_All[No.subs], MATCH(1, (K11=TBL_ADD_04_Qs_All[Q.])*("Question"=TBL_ADD_04_Qs_All[Type])*("Tech"=TBL_ADD_04_Qs_All[Section]),0)))</f>
        <v>0</v>
      </c>
      <c r="M11" s="507">
        <f t="array" ref="M11">IF(INDEX(TBL_ADD_04_Qs_All[Max score], MATCH(1, (K11=TBL_ADD_04_Qs_All[Q.])*("Question"=TBL_ADD_04_Qs_All[Type])*("Tech"=TBL_ADD_04_Qs_All[Section]),0))="-", "[Delete this row]", INDEX(TBL_ADD_04_Qs_All[Max score], MATCH(1, (K11=TBL_ADD_04_Qs_All[Q.])*("Question"=TBL_ADD_04_Qs_All[Type])*("Tech"=TBL_ADD_04_Qs_All[Section]),0)))</f>
        <v>0</v>
      </c>
      <c r="N11" s="507" t="str">
        <f t="array" ref="N11">IF(REF_Tech_Weighted="No", "N/A", IF(INDEX(TBL_ADD_04_Qs_All[Weighting], MATCH(1, (K11=TBL_ADD_04_Qs_All[Q.])*("Question"=TBL_ADD_04_Qs_All[Type])*("Tech"=TBL_ADD_04_Qs_All[Section]),0))="-", "[Delete this row]", INDEX(TBL_ADD_04_Qs_All[Weighting], MATCH(1, (K11=TBL_ADD_04_Qs_All[Q.])*("Question"=TBL_ADD_04_Qs_All[Type])*("Tech"=TBL_ADD_04_Qs_All[Section]),0))))</f>
        <v/>
      </c>
      <c r="O11" s="253" t="str">
        <f t="array" ref="O11">IF(REF_Tech_Weighted="No", "N/A", CONCATENATE("(Score awarded ÷ ", M11, ".00) x ", N11, ".00"))</f>
        <v>(Score awarded ÷ 0.00) x .00</v>
      </c>
      <c r="Q11" s="508" t="s">
        <v>1327</v>
      </c>
      <c r="R11" s="507" t="str">
        <f t="array" ref="R11">IF(INDEX(TBL_ADD_04_Qs_All[No.subs], MATCH(1, (Q11=TBL_ADD_04_Qs_All[Q.])*("Question"=TBL_ADD_04_Qs_All[Type])*("IntSV"=TBL_ADD_04_Qs_All[Section]),0))="-", "[Delete this row]", INDEX(TBL_ADD_04_Qs_All[No.subs], MATCH(1, (Q11=TBL_ADD_04_Qs_All[Q.])*("Question"=TBL_ADD_04_Qs_All[Type])*("IntSV"=TBL_ADD_04_Qs_All[Section]),0)))</f>
        <v>[Delete this row]</v>
      </c>
      <c r="S11" s="507" t="str">
        <f t="array" ref="S11">IF(INDEX(TBL_ADD_04_Qs_All[Max score], MATCH(1, (Q11=TBL_ADD_04_Qs_All[Q.])*("Question"=TBL_ADD_04_Qs_All[Type])*("IntSV"=TBL_ADD_04_Qs_All[Section]),0))="-", "[Delete this row]", INDEX(TBL_ADD_04_Qs_All[Max score], MATCH(1, (Q11=TBL_ADD_04_Qs_All[Q.])*("Question"=TBL_ADD_04_Qs_All[Type])*("IntSV"=TBL_ADD_04_Qs_All[Section]),0)))</f>
        <v>[Delete this row]</v>
      </c>
      <c r="T11" s="507" t="str">
        <f t="array" ref="T11">IF(REF_IntSV_Weighted="No", "N/A", IF(INDEX(TBL_ADD_04_Qs_All[Weighting], MATCH(1, (Q11=TBL_ADD_04_Qs_All[Q.])*("Question"=TBL_ADD_04_Qs_All[Type])*("IntSV"=TBL_ADD_04_Qs_All[Section]),0))="-", "[Delete this row]", INDEX(TBL_ADD_04_Qs_All[Weighting], MATCH(1, (Q11=TBL_ADD_04_Qs_All[Q.])*("Question"=TBL_ADD_04_Qs_All[Type])*("IntSV"=TBL_ADD_04_Qs_All[Section]),0))))</f>
        <v>[Delete this row]</v>
      </c>
      <c r="U11" s="253" t="str">
        <f t="array" ref="U11">IF(REF_IntSV_Weighted="No", "N/A", CONCATENATE("(Score awarded ÷ ", S11, ".00) x ", T11, ".00"))</f>
        <v>(Score awarded ÷ [Delete this row].00) x [Delete this row].00</v>
      </c>
    </row>
    <row r="12" spans="1:21" ht="13">
      <c r="A12" s="502" t="str">
        <f>IF(OR('Project Info'!$K$14="Open Procedure", 'Project Info'!$K$28="SQ"), "", "Shade")</f>
        <v/>
      </c>
      <c r="B12" s="100" t="str">
        <f>IF(OR('Project Info'!$K$28="SQ", REF_Split_Price=100), "Shade", "")</f>
        <v/>
      </c>
      <c r="C12" s="100" t="str">
        <f>IF(OR('Project Info'!$K$28="SQ", REF_Split_Price=100, REF_Int_or_SV="Not applicable"), "Shade", "")</f>
        <v>Shade</v>
      </c>
      <c r="D12" s="100" t="s">
        <v>175</v>
      </c>
      <c r="E12" s="508" t="s">
        <v>175</v>
      </c>
      <c r="F12" s="333">
        <f t="array" ref="F12">IF(AND(E12="Q6.2", REF_CCS_Q="Yes"), "N/A", IF(INDEX(TBL_ADD_04_Qs_All[No.subs], MATCH(1, ($D12=TBL_ADD_04_Qs_All[Q.])*("Question"=TBL_ADD_04_Qs_All[Type])*("Select"=TBL_ADD_04_Qs_All[Section]),0))="-", "[Delete this row]", INDEX(TBL_ADD_04_Qs_All[No.subs], MATCH(1, ($D12=TBL_ADD_04_Qs_All[Q.])*("Question"=TBL_ADD_04_Qs_All[Type])*("Select"=TBL_ADD_04_Qs_All[Section]),0))))</f>
        <v>0</v>
      </c>
      <c r="G12" s="333">
        <f t="array" ref="G12">IF(AND(E12="Q6.2", REF_CCS_Q="Yes"), "N/A", IF(INDEX(TBL_ADD_04_Qs_All[Max score], MATCH(1, ($D12=TBL_ADD_04_Qs_All[Q.])*("Question"=TBL_ADD_04_Qs_All[Type])*("Select"=TBL_ADD_04_Qs_All[Section]),0))="-", "[Delete this row]", INDEX(TBL_ADD_04_Qs_All[Max score], MATCH(1, ($D12=TBL_ADD_04_Qs_All[Q.])*("Question"=TBL_ADD_04_Qs_All[Type])*("Select"=TBL_ADD_04_Qs_All[Section]),0))))</f>
        <v>0</v>
      </c>
      <c r="H12" s="333" t="str">
        <f t="array" ref="H12">IF(OR(REF_Select_Weighted="No", AND(E12="Q6.2", REF_CCS_Q="Yes")), "N/A", IF(INDEX(TBL_ADD_04_Qs_All[Weighting], MATCH(1, ($D12=TBL_ADD_04_Qs_All[Q.])*("Question"=TBL_ADD_04_Qs_All[Type])*("Select"=TBL_ADD_04_Qs_All[Section]),0))="-", "[Delete this row]", INDEX(TBL_ADD_04_Qs_All[Weighting], MATCH(1, ($D12=TBL_ADD_04_Qs_All[Q.])*("Question"=TBL_ADD_04_Qs_All[Type])*("Select"=TBL_ADD_04_Qs_All[Section]),0))))</f>
        <v>N/A</v>
      </c>
      <c r="I12" s="501" t="str">
        <f t="shared" si="0"/>
        <v>N/A</v>
      </c>
      <c r="K12" s="508" t="s">
        <v>1318</v>
      </c>
      <c r="L12" s="507">
        <f t="array" ref="L12">IF(INDEX(TBL_ADD_04_Qs_All[No.subs], MATCH(1, (K12=TBL_ADD_04_Qs_All[Q.])*("Question"=TBL_ADD_04_Qs_All[Type])*("Tech"=TBL_ADD_04_Qs_All[Section]),0))="-", "[Delete this row]", INDEX(TBL_ADD_04_Qs_All[No.subs], MATCH(1, (K12=TBL_ADD_04_Qs_All[Q.])*("Question"=TBL_ADD_04_Qs_All[Type])*("Tech"=TBL_ADD_04_Qs_All[Section]),0)))</f>
        <v>0</v>
      </c>
      <c r="M12" s="507">
        <f t="array" ref="M12">IF(INDEX(TBL_ADD_04_Qs_All[Max score], MATCH(1, (K12=TBL_ADD_04_Qs_All[Q.])*("Question"=TBL_ADD_04_Qs_All[Type])*("Tech"=TBL_ADD_04_Qs_All[Section]),0))="-", "[Delete this row]", INDEX(TBL_ADD_04_Qs_All[Max score], MATCH(1, (K12=TBL_ADD_04_Qs_All[Q.])*("Question"=TBL_ADD_04_Qs_All[Type])*("Tech"=TBL_ADD_04_Qs_All[Section]),0)))</f>
        <v>0</v>
      </c>
      <c r="N12" s="507" t="str">
        <f t="array" ref="N12">IF(REF_Tech_Weighted="No", "N/A", IF(INDEX(TBL_ADD_04_Qs_All[Weighting], MATCH(1, (K12=TBL_ADD_04_Qs_All[Q.])*("Question"=TBL_ADD_04_Qs_All[Type])*("Tech"=TBL_ADD_04_Qs_All[Section]),0))="-", "[Delete this row]", INDEX(TBL_ADD_04_Qs_All[Weighting], MATCH(1, (K12=TBL_ADD_04_Qs_All[Q.])*("Question"=TBL_ADD_04_Qs_All[Type])*("Tech"=TBL_ADD_04_Qs_All[Section]),0))))</f>
        <v/>
      </c>
      <c r="O12" s="253" t="str">
        <f t="array" ref="O12">IF(REF_Tech_Weighted="No", "N/A", CONCATENATE("(Score awarded ÷ ", M12, ".00) x ", N12, ".00"))</f>
        <v>(Score awarded ÷ 0.00) x .00</v>
      </c>
      <c r="Q12" s="513"/>
      <c r="R12" s="505" t="str">
        <f>IF(REF_IntSV_Weighted="Yes", "", "Total:")</f>
        <v>Total:</v>
      </c>
      <c r="S12" s="334">
        <f>IF(REF_IntSV_Weighted="Yes", "", SUM(S7:S11))</f>
        <v>0</v>
      </c>
      <c r="T12" s="207" t="str">
        <f>IF(REF_IntSV_Weighted="Yes", "Weighted total:", "")</f>
        <v/>
      </c>
      <c r="U12" s="208" t="str">
        <f>IF(REF_IntSV_Weighted="Yes", "Sum of the weighted questions", "")</f>
        <v/>
      </c>
    </row>
    <row r="13" spans="1:21">
      <c r="A13" s="502" t="str">
        <f>IF(OR('Project Info'!$K$14="Open Procedure", 'Project Info'!$K$28="SQ"), "", "Shade")</f>
        <v/>
      </c>
      <c r="B13" s="100" t="str">
        <f>IF(OR('Project Info'!$K$28="SQ", REF_Split_Price=100), "Shade", "")</f>
        <v/>
      </c>
      <c r="D13" s="100" t="s">
        <v>184</v>
      </c>
      <c r="E13" s="508" t="s">
        <v>184</v>
      </c>
      <c r="F13" s="333">
        <f t="array" ref="F13">IF(AND(E13="Q6.2", REF_CCS_Q="Yes"), "N/A", IF(INDEX(TBL_ADD_04_Qs_All[No.subs], MATCH(1, ($D13=TBL_ADD_04_Qs_All[Q.])*("Question"=TBL_ADD_04_Qs_All[Type])*("Select"=TBL_ADD_04_Qs_All[Section]),0))="-", "[Delete this row]", INDEX(TBL_ADD_04_Qs_All[No.subs], MATCH(1, ($D13=TBL_ADD_04_Qs_All[Q.])*("Question"=TBL_ADD_04_Qs_All[Type])*("Select"=TBL_ADD_04_Qs_All[Section]),0))))</f>
        <v>0</v>
      </c>
      <c r="G13" s="333">
        <f t="array" ref="G13">IF(AND(E13="Q6.2", REF_CCS_Q="Yes"), "N/A", IF(INDEX(TBL_ADD_04_Qs_All[Max score], MATCH(1, ($D13=TBL_ADD_04_Qs_All[Q.])*("Question"=TBL_ADD_04_Qs_All[Type])*("Select"=TBL_ADD_04_Qs_All[Section]),0))="-", "[Delete this row]", INDEX(TBL_ADD_04_Qs_All[Max score], MATCH(1, ($D13=TBL_ADD_04_Qs_All[Q.])*("Question"=TBL_ADD_04_Qs_All[Type])*("Select"=TBL_ADD_04_Qs_All[Section]),0))))</f>
        <v>0</v>
      </c>
      <c r="H13" s="333" t="str">
        <f t="array" ref="H13">IF(OR(REF_Select_Weighted="No", AND(E13="Q6.2", REF_CCS_Q="Yes")), "N/A", IF(INDEX(TBL_ADD_04_Qs_All[Weighting], MATCH(1, ($D13=TBL_ADD_04_Qs_All[Q.])*("Question"=TBL_ADD_04_Qs_All[Type])*("Select"=TBL_ADD_04_Qs_All[Section]),0))="-", "[Delete this row]", INDEX(TBL_ADD_04_Qs_All[Weighting], MATCH(1, ($D13=TBL_ADD_04_Qs_All[Q.])*("Question"=TBL_ADD_04_Qs_All[Type])*("Select"=TBL_ADD_04_Qs_All[Section]),0))))</f>
        <v>N/A</v>
      </c>
      <c r="I13" s="501" t="str">
        <f t="shared" si="0"/>
        <v>N/A</v>
      </c>
      <c r="K13" s="508" t="s">
        <v>1319</v>
      </c>
      <c r="L13" s="507">
        <f t="array" ref="L13">IF(INDEX(TBL_ADD_04_Qs_All[No.subs], MATCH(1, (K13=TBL_ADD_04_Qs_All[Q.])*("Question"=TBL_ADD_04_Qs_All[Type])*("Tech"=TBL_ADD_04_Qs_All[Section]),0))="-", "[Delete this row]", INDEX(TBL_ADD_04_Qs_All[No.subs], MATCH(1, (K13=TBL_ADD_04_Qs_All[Q.])*("Question"=TBL_ADD_04_Qs_All[Type])*("Tech"=TBL_ADD_04_Qs_All[Section]),0)))</f>
        <v>0</v>
      </c>
      <c r="M13" s="507">
        <f t="array" ref="M13">IF(INDEX(TBL_ADD_04_Qs_All[Max score], MATCH(1, (K13=TBL_ADD_04_Qs_All[Q.])*("Question"=TBL_ADD_04_Qs_All[Type])*("Tech"=TBL_ADD_04_Qs_All[Section]),0))="-", "[Delete this row]", INDEX(TBL_ADD_04_Qs_All[Max score], MATCH(1, (K13=TBL_ADD_04_Qs_All[Q.])*("Question"=TBL_ADD_04_Qs_All[Type])*("Tech"=TBL_ADD_04_Qs_All[Section]),0)))</f>
        <v>0</v>
      </c>
      <c r="N13" s="507" t="str">
        <f t="array" ref="N13">IF(REF_Tech_Weighted="No", "N/A", IF(INDEX(TBL_ADD_04_Qs_All[Weighting], MATCH(1, (K13=TBL_ADD_04_Qs_All[Q.])*("Question"=TBL_ADD_04_Qs_All[Type])*("Tech"=TBL_ADD_04_Qs_All[Section]),0))="-", "[Delete this row]", INDEX(TBL_ADD_04_Qs_All[Weighting], MATCH(1, (K13=TBL_ADD_04_Qs_All[Q.])*("Question"=TBL_ADD_04_Qs_All[Type])*("Tech"=TBL_ADD_04_Qs_All[Section]),0))))</f>
        <v/>
      </c>
      <c r="O13" s="253" t="str">
        <f t="array" ref="O13">IF(REF_Tech_Weighted="No", "N/A", CONCATENATE("(Score awarded ÷ ", M13, ".00) x ", N13, ".00"))</f>
        <v>(Score awarded ÷ 0.00) x .00</v>
      </c>
      <c r="Q13" s="516"/>
      <c r="R13" s="506"/>
      <c r="S13" s="335"/>
      <c r="T13" s="335"/>
      <c r="U13" s="336"/>
    </row>
    <row r="14" spans="1:21">
      <c r="A14" s="502" t="str">
        <f>IF(OR('Project Info'!$K$14="Open Procedure", 'Project Info'!$K$28="SQ"), "", "Shade")</f>
        <v/>
      </c>
      <c r="B14" s="100" t="str">
        <f>IF(OR('Project Info'!$K$28="SQ", REF_Split_Price=100), "Shade", "")</f>
        <v/>
      </c>
      <c r="D14" s="100" t="s">
        <v>195</v>
      </c>
      <c r="E14" s="508" t="s">
        <v>195</v>
      </c>
      <c r="F14" s="333">
        <f t="array" ref="F14">IF(AND(E14="Q6.2", REF_CCS_Q="Yes"), "N/A", IF(INDEX(TBL_ADD_04_Qs_All[No.subs], MATCH(1, ($D14=TBL_ADD_04_Qs_All[Q.])*("Question"=TBL_ADD_04_Qs_All[Type])*("Select"=TBL_ADD_04_Qs_All[Section]),0))="-", "[Delete this row]", INDEX(TBL_ADD_04_Qs_All[No.subs], MATCH(1, ($D14=TBL_ADD_04_Qs_All[Q.])*("Question"=TBL_ADD_04_Qs_All[Type])*("Select"=TBL_ADD_04_Qs_All[Section]),0))))</f>
        <v>0</v>
      </c>
      <c r="G14" s="333">
        <f t="array" ref="G14">IF(AND(E14="Q6.2", REF_CCS_Q="Yes"), "N/A", IF(INDEX(TBL_ADD_04_Qs_All[Max score], MATCH(1, ($D14=TBL_ADD_04_Qs_All[Q.])*("Question"=TBL_ADD_04_Qs_All[Type])*("Select"=TBL_ADD_04_Qs_All[Section]),0))="-", "[Delete this row]", INDEX(TBL_ADD_04_Qs_All[Max score], MATCH(1, ($D14=TBL_ADD_04_Qs_All[Q.])*("Question"=TBL_ADD_04_Qs_All[Type])*("Select"=TBL_ADD_04_Qs_All[Section]),0))))</f>
        <v>0</v>
      </c>
      <c r="H14" s="333" t="str">
        <f t="array" ref="H14">IF(OR(REF_Select_Weighted="No", AND(E14="Q6.2", REF_CCS_Q="Yes")), "N/A", IF(INDEX(TBL_ADD_04_Qs_All[Weighting], MATCH(1, ($D14=TBL_ADD_04_Qs_All[Q.])*("Question"=TBL_ADD_04_Qs_All[Type])*("Select"=TBL_ADD_04_Qs_All[Section]),0))="-", "[Delete this row]", INDEX(TBL_ADD_04_Qs_All[Weighting], MATCH(1, ($D14=TBL_ADD_04_Qs_All[Q.])*("Question"=TBL_ADD_04_Qs_All[Type])*("Select"=TBL_ADD_04_Qs_All[Section]),0))))</f>
        <v>N/A</v>
      </c>
      <c r="I14" s="501" t="str">
        <f t="shared" si="0"/>
        <v>N/A</v>
      </c>
      <c r="K14" s="508" t="s">
        <v>1320</v>
      </c>
      <c r="L14" s="507">
        <f t="array" ref="L14">IF(INDEX(TBL_ADD_04_Qs_All[No.subs], MATCH(1, (K14=TBL_ADD_04_Qs_All[Q.])*("Question"=TBL_ADD_04_Qs_All[Type])*("Tech"=TBL_ADD_04_Qs_All[Section]),0))="-", "[Delete this row]", INDEX(TBL_ADD_04_Qs_All[No.subs], MATCH(1, (K14=TBL_ADD_04_Qs_All[Q.])*("Question"=TBL_ADD_04_Qs_All[Type])*("Tech"=TBL_ADD_04_Qs_All[Section]),0)))</f>
        <v>0</v>
      </c>
      <c r="M14" s="507">
        <f t="array" ref="M14">IF(INDEX(TBL_ADD_04_Qs_All[Max score], MATCH(1, (K14=TBL_ADD_04_Qs_All[Q.])*("Question"=TBL_ADD_04_Qs_All[Type])*("Tech"=TBL_ADD_04_Qs_All[Section]),0))="-", "[Delete this row]", INDEX(TBL_ADD_04_Qs_All[Max score], MATCH(1, (K14=TBL_ADD_04_Qs_All[Q.])*("Question"=TBL_ADD_04_Qs_All[Type])*("Tech"=TBL_ADD_04_Qs_All[Section]),0)))</f>
        <v>0</v>
      </c>
      <c r="N14" s="507" t="str">
        <f t="array" ref="N14">IF(REF_Tech_Weighted="No", "N/A", IF(INDEX(TBL_ADD_04_Qs_All[Weighting], MATCH(1, (K14=TBL_ADD_04_Qs_All[Q.])*("Question"=TBL_ADD_04_Qs_All[Type])*("Tech"=TBL_ADD_04_Qs_All[Section]),0))="-", "[Delete this row]", INDEX(TBL_ADD_04_Qs_All[Weighting], MATCH(1, (K14=TBL_ADD_04_Qs_All[Q.])*("Question"=TBL_ADD_04_Qs_All[Type])*("Tech"=TBL_ADD_04_Qs_All[Section]),0))))</f>
        <v/>
      </c>
      <c r="O14" s="253" t="str">
        <f t="array" ref="O14">IF(REF_Tech_Weighted="No", "N/A", CONCATENATE("(Score awarded ÷ ", M14, ".00) x ", N14, ".00"))</f>
        <v>(Score awarded ÷ 0.00) x .00</v>
      </c>
      <c r="Q14" s="516"/>
      <c r="R14" s="506"/>
      <c r="S14" s="335"/>
      <c r="T14" s="335"/>
      <c r="U14" s="336"/>
    </row>
    <row r="15" spans="1:21">
      <c r="A15" s="502" t="str">
        <f>IF(OR('Project Info'!$K$14="Open Procedure", 'Project Info'!$K$28="SQ"), "", "Shade")</f>
        <v/>
      </c>
      <c r="B15" s="100" t="str">
        <f>IF(OR('Project Info'!$K$28="SQ", REF_Split_Price=100), "Shade", "")</f>
        <v/>
      </c>
      <c r="D15" s="100" t="s">
        <v>261</v>
      </c>
      <c r="E15" s="508" t="s">
        <v>261</v>
      </c>
      <c r="F15" s="333">
        <f t="array" ref="F15">IF(AND(E15="Q6.2", REF_CCS_Q="Yes"), "N/A", IF(INDEX(TBL_ADD_04_Qs_All[No.subs], MATCH(1, ($D15=TBL_ADD_04_Qs_All[Q.])*("Question"=TBL_ADD_04_Qs_All[Type])*("Select"=TBL_ADD_04_Qs_All[Section]),0))="-", "[Delete this row]", INDEX(TBL_ADD_04_Qs_All[No.subs], MATCH(1, ($D15=TBL_ADD_04_Qs_All[Q.])*("Question"=TBL_ADD_04_Qs_All[Type])*("Select"=TBL_ADD_04_Qs_All[Section]),0))))</f>
        <v>0</v>
      </c>
      <c r="G15" s="333">
        <f t="array" ref="G15">IF(AND(E15="Q6.2", REF_CCS_Q="Yes"), "N/A", IF(INDEX(TBL_ADD_04_Qs_All[Max score], MATCH(1, ($D15=TBL_ADD_04_Qs_All[Q.])*("Question"=TBL_ADD_04_Qs_All[Type])*("Select"=TBL_ADD_04_Qs_All[Section]),0))="-", "[Delete this row]", INDEX(TBL_ADD_04_Qs_All[Max score], MATCH(1, ($D15=TBL_ADD_04_Qs_All[Q.])*("Question"=TBL_ADD_04_Qs_All[Type])*("Select"=TBL_ADD_04_Qs_All[Section]),0))))</f>
        <v>0</v>
      </c>
      <c r="H15" s="333" t="str">
        <f t="array" ref="H15">IF(OR(REF_Select_Weighted="No", AND(E15="Q6.2", REF_CCS_Q="Yes")), "N/A", IF(INDEX(TBL_ADD_04_Qs_All[Weighting], MATCH(1, ($D15=TBL_ADD_04_Qs_All[Q.])*("Question"=TBL_ADD_04_Qs_All[Type])*("Select"=TBL_ADD_04_Qs_All[Section]),0))="-", "[Delete this row]", INDEX(TBL_ADD_04_Qs_All[Weighting], MATCH(1, ($D15=TBL_ADD_04_Qs_All[Q.])*("Question"=TBL_ADD_04_Qs_All[Type])*("Select"=TBL_ADD_04_Qs_All[Section]),0))))</f>
        <v>N/A</v>
      </c>
      <c r="I15" s="501" t="str">
        <f t="shared" si="0"/>
        <v>N/A</v>
      </c>
      <c r="K15" s="508" t="s">
        <v>1321</v>
      </c>
      <c r="L15" s="507">
        <f t="array" ref="L15">IF(INDEX(TBL_ADD_04_Qs_All[No.subs], MATCH(1, (K15=TBL_ADD_04_Qs_All[Q.])*("Question"=TBL_ADD_04_Qs_All[Type])*("Tech"=TBL_ADD_04_Qs_All[Section]),0))="-", "[Delete this row]", INDEX(TBL_ADD_04_Qs_All[No.subs], MATCH(1, (K15=TBL_ADD_04_Qs_All[Q.])*("Question"=TBL_ADD_04_Qs_All[Type])*("Tech"=TBL_ADD_04_Qs_All[Section]),0)))</f>
        <v>0</v>
      </c>
      <c r="M15" s="507">
        <f t="array" ref="M15">IF(INDEX(TBL_ADD_04_Qs_All[Max score], MATCH(1, (K15=TBL_ADD_04_Qs_All[Q.])*("Question"=TBL_ADD_04_Qs_All[Type])*("Tech"=TBL_ADD_04_Qs_All[Section]),0))="-", "[Delete this row]", INDEX(TBL_ADD_04_Qs_All[Max score], MATCH(1, (K15=TBL_ADD_04_Qs_All[Q.])*("Question"=TBL_ADD_04_Qs_All[Type])*("Tech"=TBL_ADD_04_Qs_All[Section]),0)))</f>
        <v>0</v>
      </c>
      <c r="N15" s="507" t="str">
        <f t="array" ref="N15">IF(REF_Tech_Weighted="No", "N/A", IF(INDEX(TBL_ADD_04_Qs_All[Weighting], MATCH(1, (K15=TBL_ADD_04_Qs_All[Q.])*("Question"=TBL_ADD_04_Qs_All[Type])*("Tech"=TBL_ADD_04_Qs_All[Section]),0))="-", "[Delete this row]", INDEX(TBL_ADD_04_Qs_All[Weighting], MATCH(1, (K15=TBL_ADD_04_Qs_All[Q.])*("Question"=TBL_ADD_04_Qs_All[Type])*("Tech"=TBL_ADD_04_Qs_All[Section]),0))))</f>
        <v/>
      </c>
      <c r="O15" s="253" t="str">
        <f t="array" ref="O15">IF(REF_Tech_Weighted="No", "N/A", CONCATENATE("(Score awarded ÷ ", M15, ".00) x ", N15, ".00"))</f>
        <v>(Score awarded ÷ 0.00) x .00</v>
      </c>
      <c r="Q15" s="516"/>
      <c r="R15" s="506"/>
      <c r="S15" s="335"/>
      <c r="T15" s="335"/>
      <c r="U15" s="336"/>
    </row>
    <row r="16" spans="1:21">
      <c r="A16" s="502" t="str">
        <f>IF(OR('Project Info'!$K$14="Open Procedure", 'Project Info'!$K$28="SQ"), "", "Shade")</f>
        <v/>
      </c>
      <c r="B16" s="100" t="str">
        <f>IF(OR('Project Info'!$K$28="SQ", REF_Split_Price=100), "Shade", "")</f>
        <v/>
      </c>
      <c r="D16" s="100" t="s">
        <v>272</v>
      </c>
      <c r="E16" s="508" t="s">
        <v>272</v>
      </c>
      <c r="F16" s="333">
        <f t="array" ref="F16">IF(AND(E16="Q6.2", REF_CCS_Q="Yes"), "N/A", IF(INDEX(TBL_ADD_04_Qs_All[No.subs], MATCH(1, ($D16=TBL_ADD_04_Qs_All[Q.])*("Question"=TBL_ADD_04_Qs_All[Type])*("Select"=TBL_ADD_04_Qs_All[Section]),0))="-", "[Delete this row]", INDEX(TBL_ADD_04_Qs_All[No.subs], MATCH(1, ($D16=TBL_ADD_04_Qs_All[Q.])*("Question"=TBL_ADD_04_Qs_All[Type])*("Select"=TBL_ADD_04_Qs_All[Section]),0))))</f>
        <v>0</v>
      </c>
      <c r="G16" s="333">
        <f t="array" ref="G16">IF(AND(E16="Q6.2", REF_CCS_Q="Yes"), "N/A", IF(INDEX(TBL_ADD_04_Qs_All[Max score], MATCH(1, ($D16=TBL_ADD_04_Qs_All[Q.])*("Question"=TBL_ADD_04_Qs_All[Type])*("Select"=TBL_ADD_04_Qs_All[Section]),0))="-", "[Delete this row]", INDEX(TBL_ADD_04_Qs_All[Max score], MATCH(1, ($D16=TBL_ADD_04_Qs_All[Q.])*("Question"=TBL_ADD_04_Qs_All[Type])*("Select"=TBL_ADD_04_Qs_All[Section]),0))))</f>
        <v>0</v>
      </c>
      <c r="H16" s="333" t="str">
        <f t="array" ref="H16">IF(OR(REF_Select_Weighted="No", AND(E16="Q6.2", REF_CCS_Q="Yes")), "N/A", IF(INDEX(TBL_ADD_04_Qs_All[Weighting], MATCH(1, ($D16=TBL_ADD_04_Qs_All[Q.])*("Question"=TBL_ADD_04_Qs_All[Type])*("Select"=TBL_ADD_04_Qs_All[Section]),0))="-", "[Delete this row]", INDEX(TBL_ADD_04_Qs_All[Weighting], MATCH(1, ($D16=TBL_ADD_04_Qs_All[Q.])*("Question"=TBL_ADD_04_Qs_All[Type])*("Select"=TBL_ADD_04_Qs_All[Section]),0))))</f>
        <v>N/A</v>
      </c>
      <c r="I16" s="501" t="str">
        <f t="shared" si="0"/>
        <v>N/A</v>
      </c>
      <c r="K16" s="508" t="s">
        <v>1322</v>
      </c>
      <c r="L16" s="507">
        <f t="array" ref="L16">IF(INDEX(TBL_ADD_04_Qs_All[No.subs], MATCH(1, (K16=TBL_ADD_04_Qs_All[Q.])*("Question"=TBL_ADD_04_Qs_All[Type])*("Tech"=TBL_ADD_04_Qs_All[Section]),0))="-", "[Delete this row]", INDEX(TBL_ADD_04_Qs_All[No.subs], MATCH(1, (K16=TBL_ADD_04_Qs_All[Q.])*("Question"=TBL_ADD_04_Qs_All[Type])*("Tech"=TBL_ADD_04_Qs_All[Section]),0)))</f>
        <v>0</v>
      </c>
      <c r="M16" s="507">
        <f t="array" ref="M16">IF(INDEX(TBL_ADD_04_Qs_All[Max score], MATCH(1, (K16=TBL_ADD_04_Qs_All[Q.])*("Question"=TBL_ADD_04_Qs_All[Type])*("Tech"=TBL_ADD_04_Qs_All[Section]),0))="-", "[Delete this row]", INDEX(TBL_ADD_04_Qs_All[Max score], MATCH(1, (K16=TBL_ADD_04_Qs_All[Q.])*("Question"=TBL_ADD_04_Qs_All[Type])*("Tech"=TBL_ADD_04_Qs_All[Section]),0)))</f>
        <v>0</v>
      </c>
      <c r="N16" s="507" t="str">
        <f t="array" ref="N16">IF(REF_Tech_Weighted="No", "N/A", IF(INDEX(TBL_ADD_04_Qs_All[Weighting], MATCH(1, (K16=TBL_ADD_04_Qs_All[Q.])*("Question"=TBL_ADD_04_Qs_All[Type])*("Tech"=TBL_ADD_04_Qs_All[Section]),0))="-", "[Delete this row]", INDEX(TBL_ADD_04_Qs_All[Weighting], MATCH(1, (K16=TBL_ADD_04_Qs_All[Q.])*("Question"=TBL_ADD_04_Qs_All[Type])*("Tech"=TBL_ADD_04_Qs_All[Section]),0))))</f>
        <v/>
      </c>
      <c r="O16" s="253" t="str">
        <f t="array" ref="O16">IF(REF_Tech_Weighted="No", "N/A", CONCATENATE("(Score awarded ÷ ", M16, ".00) x ", N16, ".00"))</f>
        <v>(Score awarded ÷ 0.00) x .00</v>
      </c>
      <c r="Q16" s="516"/>
      <c r="R16" s="506"/>
      <c r="S16" s="335"/>
      <c r="T16" s="335"/>
      <c r="U16" s="336"/>
    </row>
    <row r="17" spans="1:21" ht="26">
      <c r="A17" s="502" t="str">
        <f>IF(OR('Project Info'!$K$14="Open Procedure", 'Project Info'!$K$28="SQ"), "", "Shade")</f>
        <v/>
      </c>
      <c r="B17" s="100" t="str">
        <f>IF(OR('Project Info'!$K$28="SQ", REF_Split_Price=100), "Shade", "")</f>
        <v/>
      </c>
      <c r="D17" s="100" t="s">
        <v>283</v>
      </c>
      <c r="E17" s="508" t="s">
        <v>283</v>
      </c>
      <c r="F17" s="333">
        <f t="array" ref="F17">IF(AND(E17="Q6.2", REF_CCS_Q="Yes"), "N/A", IF(INDEX(TBL_ADD_04_Qs_All[No.subs], MATCH(1, ($D17=TBL_ADD_04_Qs_All[Q.])*("Question"=TBL_ADD_04_Qs_All[Type])*("Select"=TBL_ADD_04_Qs_All[Section]),0))="-", "[Delete this row]", INDEX(TBL_ADD_04_Qs_All[No.subs], MATCH(1, ($D17=TBL_ADD_04_Qs_All[Q.])*("Question"=TBL_ADD_04_Qs_All[Type])*("Select"=TBL_ADD_04_Qs_All[Section]),0))))</f>
        <v>0</v>
      </c>
      <c r="G17" s="333">
        <f t="array" ref="G17">IF(AND(E17="Q6.2", REF_CCS_Q="Yes"), "N/A", IF(INDEX(TBL_ADD_04_Qs_All[Max score], MATCH(1, ($D17=TBL_ADD_04_Qs_All[Q.])*("Question"=TBL_ADD_04_Qs_All[Type])*("Select"=TBL_ADD_04_Qs_All[Section]),0))="-", "[Delete this row]", INDEX(TBL_ADD_04_Qs_All[Max score], MATCH(1, ($D17=TBL_ADD_04_Qs_All[Q.])*("Question"=TBL_ADD_04_Qs_All[Type])*("Select"=TBL_ADD_04_Qs_All[Section]),0))))</f>
        <v>0</v>
      </c>
      <c r="H17" s="333" t="str">
        <f t="array" ref="H17">IF(OR(REF_Select_Weighted="No", AND(E17="Q6.2", REF_CCS_Q="Yes")), "N/A", IF(INDEX(TBL_ADD_04_Qs_All[Weighting], MATCH(1, ($D17=TBL_ADD_04_Qs_All[Q.])*("Question"=TBL_ADD_04_Qs_All[Type])*("Select"=TBL_ADD_04_Qs_All[Section]),0))="-", "[Delete this row]", INDEX(TBL_ADD_04_Qs_All[Weighting], MATCH(1, ($D17=TBL_ADD_04_Qs_All[Q.])*("Question"=TBL_ADD_04_Qs_All[Type])*("Select"=TBL_ADD_04_Qs_All[Section]),0))))</f>
        <v>N/A</v>
      </c>
      <c r="I17" s="501" t="str">
        <f t="shared" si="0"/>
        <v>N/A</v>
      </c>
      <c r="K17" s="513"/>
      <c r="L17" s="505" t="str">
        <f>IF(REF_Tech_Weighted="Yes", "", "Total:")</f>
        <v/>
      </c>
      <c r="M17" s="334" t="str">
        <f>IF(REF_Tech_Weighted="Yes", "", SUM(M7:M16))</f>
        <v/>
      </c>
      <c r="N17" s="207" t="str">
        <f>IF(REF_Tech_Weighted="Yes", "Weighted total:", "")</f>
        <v>Weighted total:</v>
      </c>
      <c r="O17" s="208" t="str">
        <f>IF(REF_Tech_Weighted="Yes", "Sum of the weighted questions", "")</f>
        <v>Sum of the weighted questions</v>
      </c>
      <c r="U17" s="330"/>
    </row>
    <row r="18" spans="1:21">
      <c r="A18" s="502" t="str">
        <f>IF(OR('Project Info'!$K$14="Open Procedure", 'Project Info'!$K$28="SQ"), "", "Shade")</f>
        <v/>
      </c>
      <c r="D18" s="100" t="s">
        <v>294</v>
      </c>
      <c r="E18" s="508" t="s">
        <v>294</v>
      </c>
      <c r="F18" s="333">
        <f t="array" ref="F18">IF(AND(E18="Q6.2", REF_CCS_Q="Yes"), "N/A", IF(INDEX(TBL_ADD_04_Qs_All[No.subs], MATCH(1, ($D18=TBL_ADD_04_Qs_All[Q.])*("Question"=TBL_ADD_04_Qs_All[Type])*("Select"=TBL_ADD_04_Qs_All[Section]),0))="-", "[Delete this row]", INDEX(TBL_ADD_04_Qs_All[No.subs], MATCH(1, ($D18=TBL_ADD_04_Qs_All[Q.])*("Question"=TBL_ADD_04_Qs_All[Type])*("Select"=TBL_ADD_04_Qs_All[Section]),0))))</f>
        <v>0</v>
      </c>
      <c r="G18" s="333">
        <f t="array" ref="G18">IF(AND(E18="Q6.2", REF_CCS_Q="Yes"), "N/A", IF(INDEX(TBL_ADD_04_Qs_All[Max score], MATCH(1, ($D18=TBL_ADD_04_Qs_All[Q.])*("Question"=TBL_ADD_04_Qs_All[Type])*("Select"=TBL_ADD_04_Qs_All[Section]),0))="-", "[Delete this row]", INDEX(TBL_ADD_04_Qs_All[Max score], MATCH(1, ($D18=TBL_ADD_04_Qs_All[Q.])*("Question"=TBL_ADD_04_Qs_All[Type])*("Select"=TBL_ADD_04_Qs_All[Section]),0))))</f>
        <v>0</v>
      </c>
      <c r="H18" s="333" t="str">
        <f t="array" ref="H18">IF(OR(REF_Select_Weighted="No", AND(E18="Q6.2", REF_CCS_Q="Yes")), "N/A", IF(INDEX(TBL_ADD_04_Qs_All[Weighting], MATCH(1, ($D18=TBL_ADD_04_Qs_All[Q.])*("Question"=TBL_ADD_04_Qs_All[Type])*("Select"=TBL_ADD_04_Qs_All[Section]),0))="-", "[Delete this row]", INDEX(TBL_ADD_04_Qs_All[Weighting], MATCH(1, ($D18=TBL_ADD_04_Qs_All[Q.])*("Question"=TBL_ADD_04_Qs_All[Type])*("Select"=TBL_ADD_04_Qs_All[Section]),0))))</f>
        <v>N/A</v>
      </c>
      <c r="I18" s="501" t="str">
        <f t="shared" si="0"/>
        <v>N/A</v>
      </c>
    </row>
    <row r="19" spans="1:21">
      <c r="A19" s="502" t="str">
        <f>IF(OR('Project Info'!$K$14="Open Procedure", 'Project Info'!$K$28="SQ"), "", "Shade")</f>
        <v/>
      </c>
      <c r="D19" s="100" t="s">
        <v>305</v>
      </c>
      <c r="E19" s="508" t="s">
        <v>305</v>
      </c>
      <c r="F19" s="333">
        <f t="array" ref="F19">IF(AND(E19="Q6.2", REF_CCS_Q="Yes"), "N/A", IF(INDEX(TBL_ADD_04_Qs_All[No.subs], MATCH(1, ($D19=TBL_ADD_04_Qs_All[Q.])*("Question"=TBL_ADD_04_Qs_All[Type])*("Select"=TBL_ADD_04_Qs_All[Section]),0))="-", "[Delete this row]", INDEX(TBL_ADD_04_Qs_All[No.subs], MATCH(1, ($D19=TBL_ADD_04_Qs_All[Q.])*("Question"=TBL_ADD_04_Qs_All[Type])*("Select"=TBL_ADD_04_Qs_All[Section]),0))))</f>
        <v>0</v>
      </c>
      <c r="G19" s="333">
        <f t="array" ref="G19">IF(AND(E19="Q6.2", REF_CCS_Q="Yes"), "N/A", IF(INDEX(TBL_ADD_04_Qs_All[Max score], MATCH(1, ($D19=TBL_ADD_04_Qs_All[Q.])*("Question"=TBL_ADD_04_Qs_All[Type])*("Select"=TBL_ADD_04_Qs_All[Section]),0))="-", "[Delete this row]", INDEX(TBL_ADD_04_Qs_All[Max score], MATCH(1, ($D19=TBL_ADD_04_Qs_All[Q.])*("Question"=TBL_ADD_04_Qs_All[Type])*("Select"=TBL_ADD_04_Qs_All[Section]),0))))</f>
        <v>0</v>
      </c>
      <c r="H19" s="333" t="str">
        <f t="array" ref="H19">IF(OR(REF_Select_Weighted="No", AND(E19="Q6.2", REF_CCS_Q="Yes")), "N/A", IF(INDEX(TBL_ADD_04_Qs_All[Weighting], MATCH(1, ($D19=TBL_ADD_04_Qs_All[Q.])*("Question"=TBL_ADD_04_Qs_All[Type])*("Select"=TBL_ADD_04_Qs_All[Section]),0))="-", "[Delete this row]", INDEX(TBL_ADD_04_Qs_All[Weighting], MATCH(1, ($D19=TBL_ADD_04_Qs_All[Q.])*("Question"=TBL_ADD_04_Qs_All[Type])*("Select"=TBL_ADD_04_Qs_All[Section]),0))))</f>
        <v>N/A</v>
      </c>
      <c r="I19" s="501" t="str">
        <f t="shared" si="0"/>
        <v>N/A</v>
      </c>
    </row>
    <row r="20" spans="1:21" ht="13">
      <c r="A20" s="502" t="str">
        <f>IF(OR('Project Info'!$K$14="Open Procedure", 'Project Info'!$K$28="SQ"), "", "Shade")</f>
        <v/>
      </c>
      <c r="E20" s="513"/>
      <c r="F20" s="334" t="str">
        <f>IF(REF_Select_Weighted="Yes", "", "Total:")</f>
        <v>Total:</v>
      </c>
      <c r="G20" s="207">
        <f>IF(REF_Select_Weighted="Yes", "", SUM(G7:G19))</f>
        <v>20</v>
      </c>
      <c r="H20" s="207" t="str">
        <f>IF(REF_Select_Weighted="Yes", "Weighted total:", "")</f>
        <v/>
      </c>
      <c r="I20" s="208" t="str">
        <f>IF(REF_Select_Weighted="Yes", "Sum of the weighted questions", "")</f>
        <v/>
      </c>
    </row>
  </sheetData>
  <sheetProtection algorithmName="SHA-512" hashValue="LDnbxkVvz6fU34sFbzFyg9MhrSjth/u0m5iCeThGXkUPO7JQ+Pd6qkjTqdo0yUJ7+DBfOz1JANSYGAlX1uBKfw==" saltValue="lnHzJU/tyyBXFMW+C0PiUg==" spinCount="100000" sheet="1" formatRows="0"/>
  <protectedRanges>
    <protectedRange sqref="S13:U16 T7:U11 N7:O16" name="Range1"/>
  </protectedRanges>
  <mergeCells count="3">
    <mergeCell ref="E5:I5"/>
    <mergeCell ref="K5:O5"/>
    <mergeCell ref="Q5:U5"/>
  </mergeCells>
  <conditionalFormatting sqref="E1:I1048576">
    <cfRule type="expression" dxfId="129" priority="55">
      <formula>INDIRECT("A"&amp;ROW())="Shade"</formula>
    </cfRule>
  </conditionalFormatting>
  <conditionalFormatting sqref="E1:U1048576">
    <cfRule type="endsWith" dxfId="128" priority="46" operator="endsWith" text="]">
      <formula>RIGHT(E1,LEN("]"))="]"</formula>
    </cfRule>
  </conditionalFormatting>
  <conditionalFormatting sqref="K1:O1048576">
    <cfRule type="expression" dxfId="127" priority="54">
      <formula>INDIRECT("B"&amp;ROW())="Shade"</formula>
    </cfRule>
  </conditionalFormatting>
  <conditionalFormatting sqref="Q1:U1048576">
    <cfRule type="expression" dxfId="126" priority="53">
      <formula>INDIRECT("C"&amp;ROW())="Shade"</formula>
    </cfRule>
  </conditionalFormatting>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13F3E-6F56-40A8-BF00-288D8C16C1F8}">
  <sheetPr codeName="Sheet42">
    <tabColor rgb="FFFFFF00"/>
  </sheetPr>
  <dimension ref="A1:K16"/>
  <sheetViews>
    <sheetView topLeftCell="K1" workbookViewId="0">
      <selection activeCell="J1" sqref="D1:J1048576"/>
    </sheetView>
  </sheetViews>
  <sheetFormatPr defaultColWidth="8.6328125" defaultRowHeight="12.5"/>
  <cols>
    <col min="1" max="2" width="8.6328125" style="502" hidden="1" customWidth="1"/>
    <col min="3" max="3" width="3.6328125" style="114" hidden="1" customWidth="1"/>
    <col min="4" max="4" width="3.6328125" style="101" hidden="1" customWidth="1"/>
    <col min="5" max="5" width="8.36328125" style="100" hidden="1" customWidth="1"/>
    <col min="6" max="6" width="22" style="100" hidden="1" customWidth="1"/>
    <col min="7" max="7" width="10.08984375" style="100" hidden="1" customWidth="1"/>
    <col min="8" max="8" width="29.6328125" style="100" hidden="1" customWidth="1"/>
    <col min="9" max="9" width="0" style="100" hidden="1" customWidth="1"/>
    <col min="10" max="10" width="0" hidden="1" customWidth="1"/>
    <col min="11" max="11" width="8.90625" customWidth="1"/>
    <col min="12" max="16384" width="8.6328125" style="100"/>
  </cols>
  <sheetData>
    <row r="1" spans="1:9" ht="17.5">
      <c r="A1" s="276" t="s">
        <v>488</v>
      </c>
      <c r="B1" s="276" t="s">
        <v>487</v>
      </c>
      <c r="C1" s="298" t="s">
        <v>90</v>
      </c>
      <c r="D1" s="422" t="s">
        <v>2094</v>
      </c>
      <c r="E1" s="75"/>
    </row>
    <row r="2" spans="1:9" ht="13" thickBot="1"/>
    <row r="3" spans="1:9" ht="13.5" thickBot="1">
      <c r="A3" s="502" t="str">
        <f>IF(OR('Project Info'!$K$28="SQ", AND(REF_Lotted="Yes", REF_Doc_Lot="All")), "Shade", "")</f>
        <v/>
      </c>
      <c r="F3" s="102" t="str">
        <f t="array" ref="F3">IF(REF_Lotted="Yes", IF(REF_Doc_Lot="All", "[Remove this row]", CONCATENATE(SUBSTITUTE(REF_Doc_Lot, "_", " "), ":  ", INDEX(TBL_DATA_00_Doc_Merge[Lot_1_Name], MATCH(1,(REF_Doc_Lot=TBL_DATA_00_Doc_Merge[Lot])*(REF_Job_No=TBL_DATA_00_Doc_Merge[Job_No]),0)))), CONCATENATE(SUBSTITUTE(REF_Doc_Lot, "_", " "), ":  ", INDEX(TBL_DATA_00_Doc_Merge[Lot_1_Name], MATCH(1,(REF_Doc_Lot=TBL_DATA_00_Doc_Merge[Lot])*(REF_Job_No=TBL_DATA_00_Doc_Merge[Job_No]),0))))</f>
        <v>All:  N/A</v>
      </c>
      <c r="G3" s="103"/>
      <c r="H3" s="104"/>
      <c r="I3" s="105"/>
    </row>
    <row r="4" spans="1:9" ht="26.5" thickBot="1">
      <c r="A4" s="502" t="str">
        <f>IF(OR('Project Info'!$K$28="SQ", AND(REF_Lotted="Yes", REF_Doc_Lot="All")), "Shade", "")</f>
        <v/>
      </c>
      <c r="F4" s="106" t="s">
        <v>483</v>
      </c>
      <c r="G4" s="106" t="s">
        <v>484</v>
      </c>
      <c r="H4" s="106" t="s">
        <v>485</v>
      </c>
      <c r="I4" s="105"/>
    </row>
    <row r="5" spans="1:9" ht="27.5" customHeight="1" thickBot="1">
      <c r="A5" s="502" t="str">
        <f>IF(OR('Project Info'!$K$28="SQ", AND(REF_Lotted="Yes", REF_Doc_Lot="All")), "Shade", "")</f>
        <v/>
      </c>
      <c r="B5" s="502" t="str">
        <f>IF(AND(SUM(G5:G14)=E5, SUM(E5:E16)=100), "", "Error!")</f>
        <v/>
      </c>
      <c r="C5" s="114">
        <v>1</v>
      </c>
      <c r="D5" s="687" t="s">
        <v>486</v>
      </c>
      <c r="E5" s="690">
        <f>REF_Split_Price</f>
        <v>50</v>
      </c>
      <c r="F5" s="107" t="str">
        <f t="array" ref="F5">IF($A5="Shade", "N/A", IFERROR(IF(INDEX(TBL_ADD_05_Prices_All[Description], MATCH(1, (TBL_ADD_05_Prices_All[Ref]=$C5)*(TBL_ADD_05_Prices_All[Check_1]=""), 0))&lt;&gt;"", INDEX(TBL_ADD_05_Prices_All[Description], MATCH(1, (TBL_ADD_05_Prices_All[Ref]=$C5)*(TBL_ADD_05_Prices_All[Check_1]=""), 0)), "Add info on 'Doc_Tables 1' tab"), "Add info on 'Doc_Tables 1' tab"))</f>
        <v xml:space="preserve">NHF Schedule of Rates Repairs Adjustment </v>
      </c>
      <c r="G5" s="108">
        <f t="array" ref="G5">IF($A5="Shade", "N/A", IFERROR(IF(INDEX(TBL_ADD_05_Prices_All[Maximum points available], MATCH(1, (TBL_ADD_05_Prices_All[Ref]=$C5)*(TBL_ADD_05_Prices_All[Check_1]=""), 0))&lt;&gt;"", INDEX(TBL_ADD_05_Prices_All[Maximum points available], MATCH(1, (TBL_ADD_05_Prices_All[Ref]=$C5)*(TBL_ADD_05_Prices_All[Check_1]=""), 0)), "N/A"), "N/A"))</f>
        <v>10</v>
      </c>
      <c r="H5" s="109" t="str">
        <f>IF(OR(A5="Shade", G5="N/A"), "N/A", CONCATENATE(G5, ".00  - [Tenderer's price - lowest price) ÷ lowest price] x ", G5, ".00"))</f>
        <v>10.00  - [Tenderer's price - lowest price) ÷ lowest price] x 10.00</v>
      </c>
      <c r="I5" s="105"/>
    </row>
    <row r="6" spans="1:9" ht="27.5" customHeight="1" thickBot="1">
      <c r="A6" s="502" t="str">
        <f>IF(OR('Project Info'!$K$28="SQ", AND(REF_Lotted="Yes", REF_Doc_Lot="All")), "Shade", "")</f>
        <v/>
      </c>
      <c r="B6" s="502" t="str">
        <f>IF(AND(SUM(G5:G14)=E5, SUM(E5:E16)=100), "", "Error!")</f>
        <v/>
      </c>
      <c r="C6" s="114">
        <v>2</v>
      </c>
      <c r="D6" s="688"/>
      <c r="E6" s="691"/>
      <c r="F6" s="107" t="str">
        <f t="array" ref="F6">IF($A6="Shade", "N/A", IFERROR(IF(INDEX(TBL_ADD_05_Prices_All[Description], MATCH(1, (TBL_ADD_05_Prices_All[Ref]=$C6)*(TBL_ADD_05_Prices_All[Check_1]=""), 0))&lt;&gt;"", INDEX(TBL_ADD_05_Prices_All[Description], MATCH(1, (TBL_ADD_05_Prices_All[Ref]=$C6)*(TBL_ADD_05_Prices_All[Check_1]=""), 0)), "[Remove row]"), "[Remove row]"))</f>
        <v>Electrics and Rewires Repairs Rates</v>
      </c>
      <c r="G6" s="108">
        <f t="array" ref="G6">IF($A6="Shade", "N/A", IFERROR(IF(INDEX(TBL_ADD_05_Prices_All[Maximum points available], MATCH(1, (TBL_ADD_05_Prices_All[Ref]=$C6)*(TBL_ADD_05_Prices_All[Check_1]=""), 0))&lt;&gt;"", INDEX(TBL_ADD_05_Prices_All[Maximum points available], MATCH(1, (TBL_ADD_05_Prices_All[Ref]=$C6)*(TBL_ADD_05_Prices_All[Check_1]=""), 0)), "N/A"), "N/A"))</f>
        <v>2</v>
      </c>
      <c r="H6" s="109" t="str">
        <f>IF(OR(A6="Shade", G6="N/A"), "N/A", CONCATENATE(G6, ".00  - [Tenderer's price - lowest price) ÷ lowest price] x ", G6, ".00"))</f>
        <v>2.00  - [Tenderer's price - lowest price) ÷ lowest price] x 2.00</v>
      </c>
      <c r="I6" s="105"/>
    </row>
    <row r="7" spans="1:9" ht="27.5" customHeight="1" thickBot="1">
      <c r="A7" s="502" t="str">
        <f>IF(OR('Project Info'!$K$28="SQ", AND(REF_Lotted="Yes", REF_Doc_Lot="All")), "Shade", "")</f>
        <v/>
      </c>
      <c r="B7" s="502" t="str">
        <f>IF(AND(SUM(G5:G14)=E5, SUM(E5:E16)=100), "", "Error!")</f>
        <v/>
      </c>
      <c r="C7" s="114">
        <v>3</v>
      </c>
      <c r="D7" s="688"/>
      <c r="E7" s="691"/>
      <c r="F7" s="107" t="str">
        <f t="array" ref="F7">IF($A7="Shade", "N/A", IFERROR(IF(INDEX(TBL_ADD_05_Prices_All[Description], MATCH(1, (TBL_ADD_05_Prices_All[Ref]=$C7)*(TBL_ADD_05_Prices_All[Check_1]=""), 0))&lt;&gt;"", INDEX(TBL_ADD_05_Prices_All[Description], MATCH(1, (TBL_ADD_05_Prices_All[Ref]=$C7)*(TBL_ADD_05_Prices_All[Check_1]=""), 0)), "[Remove row]"), "[Remove row]"))</f>
        <v>Decent Homes Repairs Rates</v>
      </c>
      <c r="G7" s="108">
        <f t="array" ref="G7">IF($A7="Shade", "N/A", IFERROR(IF(INDEX(TBL_ADD_05_Prices_All[Maximum points available], MATCH(1, (TBL_ADD_05_Prices_All[Ref]=$C7)*(TBL_ADD_05_Prices_All[Check_1]=""), 0))&lt;&gt;"", INDEX(TBL_ADD_05_Prices_All[Maximum points available], MATCH(1, (TBL_ADD_05_Prices_All[Ref]=$C7)*(TBL_ADD_05_Prices_All[Check_1]=""), 0)), "N/A"), "N/A"))</f>
        <v>5</v>
      </c>
      <c r="H7" s="109" t="str">
        <f t="shared" ref="H7:H14" si="0">IF(OR(A7="Shade", G7="N/A"), "N/A", CONCATENATE(G7, ".00  - [Tenderer's price - lowest price) ÷ lowest price] x ", G7, ".00"))</f>
        <v>5.00  - [Tenderer's price - lowest price) ÷ lowest price] x 5.00</v>
      </c>
      <c r="I7" s="105"/>
    </row>
    <row r="8" spans="1:9" ht="27.5" customHeight="1" thickBot="1">
      <c r="A8" s="502" t="str">
        <f>IF(OR('Project Info'!$K$28="SQ", AND(REF_Lotted="Yes", REF_Doc_Lot="All")), "Shade", "")</f>
        <v/>
      </c>
      <c r="B8" s="502" t="str">
        <f>IF(AND(SUM(G5:G14)=E5, SUM(E5:E16)=100), "", "Error!")</f>
        <v/>
      </c>
      <c r="C8" s="114">
        <v>4</v>
      </c>
      <c r="D8" s="688"/>
      <c r="E8" s="691"/>
      <c r="F8" s="107" t="str">
        <f t="array" ref="F8">IF($A8="Shade", "N/A", IFERROR(IF(INDEX(TBL_ADD_05_Prices_All[Description], MATCH(1, (TBL_ADD_05_Prices_All[Ref]=$C8)*(TBL_ADD_05_Prices_All[Check_1]=""), 0))&lt;&gt;"", INDEX(TBL_ADD_05_Prices_All[Description], MATCH(1, (TBL_ADD_05_Prices_All[Ref]=$C8)*(TBL_ADD_05_Prices_All[Check_1]=""), 0)), "[Remove row]"), "[Remove row]"))</f>
        <v>NHF Schedule of Rates Voids Adjustment</v>
      </c>
      <c r="G8" s="108">
        <f t="array" ref="G8">IF($A8="Shade", "N/A", IFERROR(IF(INDEX(TBL_ADD_05_Prices_All[Maximum points available], MATCH(1, (TBL_ADD_05_Prices_All[Ref]=$C8)*(TBL_ADD_05_Prices_All[Check_1]=""), 0))&lt;&gt;"", INDEX(TBL_ADD_05_Prices_All[Maximum points available], MATCH(1, (TBL_ADD_05_Prices_All[Ref]=$C8)*(TBL_ADD_05_Prices_All[Check_1]=""), 0)), "N/A"), "N/A"))</f>
        <v>9</v>
      </c>
      <c r="H8" s="109" t="str">
        <f t="shared" si="0"/>
        <v>9.00  - [Tenderer's price - lowest price) ÷ lowest price] x 9.00</v>
      </c>
      <c r="I8" s="105"/>
    </row>
    <row r="9" spans="1:9" ht="27.5" customHeight="1" thickBot="1">
      <c r="A9" s="502" t="str">
        <f>IF(OR('Project Info'!$K$28="SQ", AND(REF_Lotted="Yes", REF_Doc_Lot="All")), "Shade", "")</f>
        <v/>
      </c>
      <c r="B9" s="502" t="str">
        <f>IF(AND(SUM(G5:G14)=E5, SUM(E5:E16)=100), "", "Error!")</f>
        <v/>
      </c>
      <c r="C9" s="114">
        <v>5</v>
      </c>
      <c r="D9" s="688"/>
      <c r="E9" s="691"/>
      <c r="F9" s="107" t="str">
        <f t="array" ref="F9">IF($A9="Shade", "N/A", IFERROR(IF(INDEX(TBL_ADD_05_Prices_All[Description], MATCH(1, (TBL_ADD_05_Prices_All[Ref]=$C9)*(TBL_ADD_05_Prices_All[Check_1]=""), 0))&lt;&gt;"", INDEX(TBL_ADD_05_Prices_All[Description], MATCH(1, (TBL_ADD_05_Prices_All[Ref]=$C9)*(TBL_ADD_05_Prices_All[Check_1]=""), 0)), "[Remove row]"), "[Remove row]"))</f>
        <v>Voids Basket Rates</v>
      </c>
      <c r="G9" s="108">
        <f t="array" ref="G9">IF($A9="Shade", "N/A", IFERROR(IF(INDEX(TBL_ADD_05_Prices_All[Maximum points available], MATCH(1, (TBL_ADD_05_Prices_All[Ref]=$C9)*(TBL_ADD_05_Prices_All[Check_1]=""), 0))&lt;&gt;"", INDEX(TBL_ADD_05_Prices_All[Maximum points available], MATCH(1, (TBL_ADD_05_Prices_All[Ref]=$C9)*(TBL_ADD_05_Prices_All[Check_1]=""), 0)), "N/A"), "N/A"))</f>
        <v>9</v>
      </c>
      <c r="H9" s="109" t="str">
        <f t="shared" si="0"/>
        <v>9.00  - [Tenderer's price - lowest price) ÷ lowest price] x 9.00</v>
      </c>
      <c r="I9" s="105"/>
    </row>
    <row r="10" spans="1:9" ht="27.5" customHeight="1" thickBot="1">
      <c r="A10" s="502" t="str">
        <f>IF(OR('Project Info'!$K$28="SQ", AND(REF_Lotted="Yes", REF_Doc_Lot="All")), "Shade", "")</f>
        <v/>
      </c>
      <c r="B10" s="502" t="str">
        <f>IF(AND(SUM(G5:G14)=E5, SUM(E5:E16)=100), "", "Error!")</f>
        <v/>
      </c>
      <c r="C10" s="114">
        <v>6</v>
      </c>
      <c r="D10" s="688"/>
      <c r="E10" s="691"/>
      <c r="F10" s="107" t="str">
        <f t="array" ref="F10">IF($A10="Shade", "N/A", IFERROR(IF(INDEX(TBL_ADD_05_Prices_All[Description], MATCH(1, (TBL_ADD_05_Prices_All[Ref]=$C10)*(TBL_ADD_05_Prices_All[Check_1]=""), 0))&lt;&gt;"", INDEX(TBL_ADD_05_Prices_All[Description], MATCH(1, (TBL_ADD_05_Prices_All[Ref]=$C10)*(TBL_ADD_05_Prices_All[Check_1]=""), 0)), "[Remove row]"), "[Remove row]"))</f>
        <v>Electrics and Rewires Voids Rates</v>
      </c>
      <c r="G10" s="108">
        <f t="array" ref="G10">IF($A10="Shade", "N/A", IFERROR(IF(INDEX(TBL_ADD_05_Prices_All[Maximum points available], MATCH(1, (TBL_ADD_05_Prices_All[Ref]=$C10)*(TBL_ADD_05_Prices_All[Check_1]=""), 0))&lt;&gt;"", INDEX(TBL_ADD_05_Prices_All[Maximum points available], MATCH(1, (TBL_ADD_05_Prices_All[Ref]=$C10)*(TBL_ADD_05_Prices_All[Check_1]=""), 0)), "N/A"), "N/A"))</f>
        <v>9</v>
      </c>
      <c r="H10" s="109" t="str">
        <f t="shared" si="0"/>
        <v>9.00  - [Tenderer's price - lowest price) ÷ lowest price] x 9.00</v>
      </c>
      <c r="I10" s="105"/>
    </row>
    <row r="11" spans="1:9" ht="27.5" customHeight="1" thickBot="1">
      <c r="A11" s="502" t="str">
        <f>IF(OR('Project Info'!$K$28="SQ", AND(REF_Lotted="Yes", REF_Doc_Lot="All")), "Shade", "")</f>
        <v/>
      </c>
      <c r="B11" s="502" t="str">
        <f>IF(AND(SUM(G5:G14)=E5, SUM(E5:E16)=100), "", "Error!")</f>
        <v/>
      </c>
      <c r="C11" s="114">
        <v>7</v>
      </c>
      <c r="D11" s="688"/>
      <c r="E11" s="691"/>
      <c r="F11" s="107" t="str">
        <f t="array" ref="F11">IF($A11="Shade", "N/A", IFERROR(IF(INDEX(TBL_ADD_05_Prices_All[Description], MATCH(1, (TBL_ADD_05_Prices_All[Ref]=$C11)*(TBL_ADD_05_Prices_All[Check_1]=""), 0))&lt;&gt;"", INDEX(TBL_ADD_05_Prices_All[Description], MATCH(1, (TBL_ADD_05_Prices_All[Ref]=$C11)*(TBL_ADD_05_Prices_All[Check_1]=""), 0)), "[Remove row]"), "[Remove row]"))</f>
        <v>Decent Homes Voids Rates</v>
      </c>
      <c r="G11" s="108">
        <f t="array" ref="G11">IF($A11="Shade", "N/A", IFERROR(IF(INDEX(TBL_ADD_05_Prices_All[Maximum points available], MATCH(1, (TBL_ADD_05_Prices_All[Ref]=$C11)*(TBL_ADD_05_Prices_All[Check_1]=""), 0))&lt;&gt;"", INDEX(TBL_ADD_05_Prices_All[Maximum points available], MATCH(1, (TBL_ADD_05_Prices_All[Ref]=$C11)*(TBL_ADD_05_Prices_All[Check_1]=""), 0)), "N/A"), "N/A"))</f>
        <v>4</v>
      </c>
      <c r="H11" s="109" t="str">
        <f t="shared" si="0"/>
        <v>4.00  - [Tenderer's price - lowest price) ÷ lowest price] x 4.00</v>
      </c>
      <c r="I11" s="105"/>
    </row>
    <row r="12" spans="1:9" ht="27.5" customHeight="1" thickBot="1">
      <c r="A12" s="502" t="str">
        <f>IF(OR('Project Info'!$K$28="SQ", AND(REF_Lotted="Yes", REF_Doc_Lot="All")), "Shade", "")</f>
        <v/>
      </c>
      <c r="B12" s="502" t="str">
        <f>IF(AND(SUM(G5:G14)=E5, SUM(E5:E16)=100), "", "Error!")</f>
        <v/>
      </c>
      <c r="C12" s="114">
        <v>8</v>
      </c>
      <c r="D12" s="688"/>
      <c r="E12" s="691"/>
      <c r="F12" s="107" t="str">
        <f t="array" ref="F12">IF($A12="Shade", "N/A", IFERROR(IF(INDEX(TBL_ADD_05_Prices_All[Description], MATCH(1, (TBL_ADD_05_Prices_All[Ref]=$C12)*(TBL_ADD_05_Prices_All[Check_1]=""), 0))&lt;&gt;"", INDEX(TBL_ADD_05_Prices_All[Description], MATCH(1, (TBL_ADD_05_Prices_All[Ref]=$C12)*(TBL_ADD_05_Prices_All[Check_1]=""), 0)), "[Remove row]"), "[Remove row]"))</f>
        <v>Daywork Rates</v>
      </c>
      <c r="G12" s="108">
        <f t="array" ref="G12">IF($A12="Shade", "N/A", IFERROR(IF(INDEX(TBL_ADD_05_Prices_All[Maximum points available], MATCH(1, (TBL_ADD_05_Prices_All[Ref]=$C12)*(TBL_ADD_05_Prices_All[Check_1]=""), 0))&lt;&gt;"", INDEX(TBL_ADD_05_Prices_All[Maximum points available], MATCH(1, (TBL_ADD_05_Prices_All[Ref]=$C12)*(TBL_ADD_05_Prices_All[Check_1]=""), 0)), "N/A"), "N/A"))</f>
        <v>2</v>
      </c>
      <c r="H12" s="109" t="str">
        <f t="shared" si="0"/>
        <v>2.00  - [Tenderer's price - lowest price) ÷ lowest price] x 2.00</v>
      </c>
      <c r="I12" s="105"/>
    </row>
    <row r="13" spans="1:9" ht="27.5" customHeight="1" thickBot="1">
      <c r="A13" s="502" t="str">
        <f>IF(OR('Project Info'!$K$28="SQ", AND(REF_Lotted="Yes", REF_Doc_Lot="All")), "Shade", "")</f>
        <v/>
      </c>
      <c r="B13" s="502" t="str">
        <f>IF(AND(SUM(G5:G14)=E5, SUM(E5:E16)=100), "", "Error!")</f>
        <v/>
      </c>
      <c r="C13" s="114">
        <v>9</v>
      </c>
      <c r="D13" s="688"/>
      <c r="E13" s="691"/>
      <c r="F13" s="107" t="str">
        <f t="array" ref="F13">IF($A13="Shade", "N/A", IFERROR(IF(INDEX(TBL_ADD_05_Prices_All[Description], MATCH(1, (TBL_ADD_05_Prices_All[Ref]=$C13)*(TBL_ADD_05_Prices_All[Check_1]=""), 0))&lt;&gt;"", INDEX(TBL_ADD_05_Prices_All[Description], MATCH(1, (TBL_ADD_05_Prices_All[Ref]=$C13)*(TBL_ADD_05_Prices_All[Check_1]=""), 0)), "[Remove row]"), "[Remove row]"))</f>
        <v>Additional Rates</v>
      </c>
      <c r="G13" s="108">
        <f t="array" ref="G13">IF($A13="Shade", "N/A", IFERROR(IF(INDEX(TBL_ADD_05_Prices_All[Maximum points available], MATCH(1, (TBL_ADD_05_Prices_All[Ref]=$C13)*(TBL_ADD_05_Prices_All[Check_1]=""), 0))&lt;&gt;"", INDEX(TBL_ADD_05_Prices_All[Maximum points available], MATCH(1, (TBL_ADD_05_Prices_All[Ref]=$C13)*(TBL_ADD_05_Prices_All[Check_1]=""), 0)), "N/A"), "N/A"))</f>
        <v>0</v>
      </c>
      <c r="H13" s="109" t="str">
        <f t="shared" si="0"/>
        <v>0.00  - [Tenderer's price - lowest price) ÷ lowest price] x 0.00</v>
      </c>
      <c r="I13" s="105"/>
    </row>
    <row r="14" spans="1:9" ht="27.5" customHeight="1" thickBot="1">
      <c r="A14" s="502" t="str">
        <f>IF(OR('Project Info'!$K$28="SQ", AND(REF_Lotted="Yes", REF_Doc_Lot="All")), "Shade", "")</f>
        <v/>
      </c>
      <c r="B14" s="502" t="str">
        <f>IF(AND(SUM(G5:G14)=E5, SUM(E5:E16)=100), "", "Error!")</f>
        <v/>
      </c>
      <c r="C14" s="114">
        <v>10</v>
      </c>
      <c r="D14" s="689"/>
      <c r="E14" s="692"/>
      <c r="F14" s="107" t="str">
        <f t="array" ref="F14">IF($A14="Shade", "N/A", IFERROR(IF(INDEX(TBL_ADD_05_Prices_All[Description], MATCH(1, (TBL_ADD_05_Prices_All[Ref]=$C14)*(TBL_ADD_05_Prices_All[Check_1]=""), 0))&lt;&gt;"", INDEX(TBL_ADD_05_Prices_All[Description], MATCH(1, (TBL_ADD_05_Prices_All[Ref]=$C14)*(TBL_ADD_05_Prices_All[Check_1]=""), 0)), "[Remove row]"), "[Remove row]"))</f>
        <v>[Remove row]</v>
      </c>
      <c r="G14" s="108" t="str">
        <f t="array" ref="G14">IF($A14="Shade", "N/A", IFERROR(IF(INDEX(TBL_ADD_05_Prices_All[Maximum points available], MATCH(1, (TBL_ADD_05_Prices_All[Ref]=$C14)*(TBL_ADD_05_Prices_All[Check_1]=""), 0))&lt;&gt;"", INDEX(TBL_ADD_05_Prices_All[Maximum points available], MATCH(1, (TBL_ADD_05_Prices_All[Ref]=$C14)*(TBL_ADD_05_Prices_All[Check_1]=""), 0)), "N/A"), "N/A"))</f>
        <v>N/A</v>
      </c>
      <c r="H14" s="109" t="str">
        <f t="shared" si="0"/>
        <v>N/A</v>
      </c>
      <c r="I14" s="105"/>
    </row>
    <row r="15" spans="1:9" ht="27.5" customHeight="1" thickBot="1">
      <c r="A15" s="502" t="str">
        <f>IF(OR('Project Info'!$K$28="SQ", AND(REF_Lotted="Yes", REF_Doc_Lot="All")), "Shade", "")</f>
        <v/>
      </c>
      <c r="B15" s="502" t="str">
        <f>IF(AND(SUM(G15:G16)=E15, SUM(E5:E16)=100), "", "Error!")</f>
        <v/>
      </c>
      <c r="D15" s="687" t="s">
        <v>479</v>
      </c>
      <c r="E15" s="690">
        <f>REF_Split_Tech</f>
        <v>50</v>
      </c>
      <c r="F15" s="137" t="str">
        <f>IF(REF_Split_Price=100, "[Remove row]", "Part 4 - Project Delivery questions")</f>
        <v>Part 4 - Project Delivery questions</v>
      </c>
      <c r="G15" s="108">
        <f>REF_Tech_Weighting</f>
        <v>50</v>
      </c>
      <c r="H15" s="109" t="str">
        <f t="array" ref="H15">IF(REF_Tech_Weighted="Yes", "Sum of the weighted questions", CONCATENATE("([Tenderer’s total mark for the questions] ÷ ", INDEX(TBL_DATA_02_Q_Info[Tech_Points], MATCH(1, ("All"=TBL_DATA_02_Q_Info[Lot])*("Yes"=TBL_DATA_02_Q_Info[Include?]), 0)), ".00 ) x  ", G15, ".00"))</f>
        <v>Sum of the weighted questions</v>
      </c>
      <c r="I15" s="105"/>
    </row>
    <row r="16" spans="1:9" ht="27.5" customHeight="1" thickBot="1">
      <c r="A16" s="502" t="str">
        <f>IF(OR('Project Info'!$K$28="SQ", AND(REF_Lotted="Yes", REF_Doc_Lot="All")), "Shade", "")</f>
        <v/>
      </c>
      <c r="B16" s="502" t="str">
        <f>IF(AND(SUM(G15:G16)=E15, SUM(E5:E16)=100), "", "Error!")</f>
        <v/>
      </c>
      <c r="D16" s="693"/>
      <c r="E16" s="692"/>
      <c r="F16" s="107" t="str">
        <f>IF(REF_Split_Price=100,"[Remove row]",IF(REF_Int_or_SV="Not applicable","[Remove row]",CONCATENATE("Part 5 - ",REF_Int_or_SV," questions")))</f>
        <v>[Remove row]</v>
      </c>
      <c r="G16" s="108">
        <f>REF_IntSV_Weighting</f>
        <v>0</v>
      </c>
      <c r="H16" s="109" t="str">
        <f t="array" ref="H16">IF(REF_Int_or_SV="Not applicable", "N/A", IF(REF_IntSV_Weighted="Yes", "Sum of the weighted questions", CONCATENATE("([Tenderer’s total mark for Questions] ÷ ", INDEX(TBL_DATA_02_Q_Info[IntSV_Points], MATCH(1, ("All"=TBL_DATA_02_Q_Info[Lot])*("Yes"=TBL_DATA_02_Q_Info[Include?]), 0)), ".00 ) x  ", G16, ".00")))</f>
        <v>N/A</v>
      </c>
      <c r="I16" s="105"/>
    </row>
  </sheetData>
  <sheetProtection algorithmName="SHA-512" hashValue="YZYApjTuYOYVz3aQjgLSF1hv2mw0XXDueLjI4Z3/tC6j7zL42D9p9MSyaZSv23ELI3J8uJvikfB8LISVMXC+kw==" saltValue="5WPGXvZkV7EIXRBDmqXICw==" spinCount="100000" sheet="1" objects="1" scenarios="1"/>
  <protectedRanges>
    <protectedRange sqref="F5:G16 D5:E8 D10:E15" name="Range1"/>
  </protectedRanges>
  <mergeCells count="4">
    <mergeCell ref="D5:D14"/>
    <mergeCell ref="E5:E14"/>
    <mergeCell ref="D15:D16"/>
    <mergeCell ref="E15:E16"/>
  </mergeCells>
  <conditionalFormatting sqref="D1:H1048576">
    <cfRule type="expression" dxfId="125" priority="8">
      <formula>INDIRECT("A"&amp;ROW())="Shade"</formula>
    </cfRule>
    <cfRule type="expression" dxfId="124" priority="9">
      <formula>INDIRECT("B"&amp;ROW())="Error!"</formula>
    </cfRule>
  </conditionalFormatting>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271F0-1383-4440-8037-3C3AC960CA49}">
  <sheetPr codeName="Sheet47">
    <tabColor rgb="FFFF0000"/>
  </sheetPr>
  <dimension ref="A1:P76"/>
  <sheetViews>
    <sheetView showGridLines="0" topLeftCell="M1" zoomScaleNormal="100" workbookViewId="0">
      <selection activeCell="L1" sqref="A1:L1048576"/>
    </sheetView>
  </sheetViews>
  <sheetFormatPr defaultColWidth="9" defaultRowHeight="14"/>
  <cols>
    <col min="1" max="1" width="9.36328125" style="52" hidden="1" customWidth="1"/>
    <col min="2" max="2" width="28.08984375" style="52" hidden="1" customWidth="1"/>
    <col min="3" max="3" width="37.6328125" style="45" hidden="1" customWidth="1"/>
    <col min="4" max="4" width="42.36328125" style="3" hidden="1" customWidth="1"/>
    <col min="5" max="5" width="11.36328125" style="3" hidden="1" customWidth="1"/>
    <col min="6" max="6" width="10.6328125" style="3" hidden="1" customWidth="1"/>
    <col min="7" max="7" width="9.453125" style="3" hidden="1" customWidth="1"/>
    <col min="8" max="8" width="12.6328125" style="3" hidden="1" customWidth="1"/>
    <col min="9" max="9" width="7.6328125" style="3" hidden="1" customWidth="1"/>
    <col min="10" max="10" width="8.54296875" style="3" hidden="1" customWidth="1"/>
    <col min="11" max="11" width="11.36328125" style="36" hidden="1" customWidth="1"/>
    <col min="12" max="12" width="19.6328125" style="3" hidden="1" customWidth="1"/>
    <col min="13" max="16" width="9.08984375" style="3" customWidth="1"/>
    <col min="17" max="16384" width="9" style="3"/>
  </cols>
  <sheetData>
    <row r="1" spans="1:16" s="94"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46"/>
      <c r="K1" s="352" t="str">
        <f>IF(REF_Alternative="Yes", IF(REF_Alternative_Response="Yes", "N/A", IF(COUNTIF(TBL_Q_05_PAS_C1[Check], "Add")&gt;0, "Incomplete", "Complete")), IF(COUNTIF(TBL_Q_05_PAS_C1[Check], "Add")&gt;0, "Incomplete", "Complete"))</f>
        <v>Incomplete</v>
      </c>
    </row>
    <row r="2" spans="1:16" s="94" customFormat="1" ht="12.5" customHeight="1">
      <c r="A2" s="54" t="str">
        <f t="array" ref="A2">CONCATENATE(INDEX(TBL_DATA_00_Doc_Merge[Supplier_Type], MATCH(1, (REF_Doc_Lot=TBL_DATA_00_Doc_Merge[Lot])*(REF_Job_No=TBL_DATA_00_Doc_Merge[Job_No]),0)), ":")</f>
        <v>Supplier:</v>
      </c>
      <c r="B2" s="54" t="str">
        <f>Response!$A$2</f>
        <v>Purdy Contracts Ltd</v>
      </c>
      <c r="C2" s="346"/>
      <c r="K2" s="351"/>
    </row>
    <row r="3" spans="1:16" s="94" customFormat="1" ht="12.5" customHeight="1">
      <c r="A3" s="345"/>
      <c r="B3" s="345"/>
      <c r="C3" s="346"/>
      <c r="K3" s="351"/>
    </row>
    <row r="4" spans="1:16" ht="17.5">
      <c r="A4" s="88" t="s">
        <v>143</v>
      </c>
      <c r="B4" s="88" t="s">
        <v>1302</v>
      </c>
      <c r="C4" s="56"/>
    </row>
    <row r="6" spans="1:16" s="56" customFormat="1" ht="15.5">
      <c r="A6" s="279" t="s">
        <v>1299</v>
      </c>
      <c r="B6" s="279" t="str">
        <f>IF(REF_Alternative="Yes", IF(REF_Alternative_Response="Yes", "Section not applicable", "Supplier identity, key roles and contact information"), "Supplier identity, key roles and contact information")</f>
        <v>Supplier identity, key roles and contact information</v>
      </c>
      <c r="D6" s="57"/>
      <c r="E6" s="57"/>
      <c r="K6" s="55"/>
    </row>
    <row r="7" spans="1:16">
      <c r="A7" s="31"/>
      <c r="B7" s="31"/>
      <c r="C7" s="46"/>
      <c r="D7" s="10"/>
      <c r="E7" s="10"/>
      <c r="F7" s="10"/>
      <c r="G7" s="10"/>
      <c r="H7" s="10"/>
      <c r="I7" s="10"/>
      <c r="J7" s="10"/>
      <c r="K7" s="20"/>
      <c r="L7" s="10"/>
      <c r="M7" s="10"/>
      <c r="N7" s="10"/>
      <c r="O7" s="10"/>
      <c r="P7" s="10"/>
    </row>
    <row r="8" spans="1:16" ht="26">
      <c r="A8" s="153" t="s">
        <v>585</v>
      </c>
      <c r="B8" s="115" t="s">
        <v>586</v>
      </c>
      <c r="C8" s="115" t="s">
        <v>587</v>
      </c>
      <c r="D8" s="224" t="s">
        <v>19</v>
      </c>
      <c r="E8" s="164" t="s">
        <v>714</v>
      </c>
      <c r="F8" s="164" t="s">
        <v>90</v>
      </c>
      <c r="G8" s="157" t="s">
        <v>324</v>
      </c>
      <c r="H8" s="157" t="s">
        <v>1351</v>
      </c>
      <c r="I8" s="164" t="s">
        <v>88</v>
      </c>
      <c r="J8" s="164" t="s">
        <v>487</v>
      </c>
      <c r="K8" s="147"/>
      <c r="L8" s="10"/>
      <c r="M8" s="10"/>
      <c r="N8" s="10"/>
      <c r="O8" s="10"/>
    </row>
    <row r="9" spans="1:16" ht="25">
      <c r="A9" s="50" t="s">
        <v>588</v>
      </c>
      <c r="B9" s="50" t="s">
        <v>589</v>
      </c>
      <c r="C9" s="143" t="s">
        <v>590</v>
      </c>
      <c r="D9" s="140"/>
      <c r="E9" s="222" t="s">
        <v>588</v>
      </c>
      <c r="F9" s="160" t="s">
        <v>612</v>
      </c>
      <c r="G9" s="159" t="s">
        <v>467</v>
      </c>
      <c r="H9" s="160" t="s">
        <v>467</v>
      </c>
      <c r="I9" s="160" t="str">
        <f>IF(AND(TBL_Q_05_PAS_C1[[#This Row],[Include?]]="Yes", TBL_Q_05_PAS_C1[[#This Row],[Response?]]="Yes"), "", "Shade")</f>
        <v/>
      </c>
      <c r="J9" s="160" t="str">
        <f>IF(TBL_Q_05_PAS_C1[[#This Row],[Shade]]="Shade", "", IF(TBL_Q_05_PAS_C1[[#This Row],[Response?]]="Yes", IF(TBL_Q_05_PAS_C1[[#This Row],[Response]]&lt;&gt;"", "Done", "Add"), IF(TBL_Q_05_PAS_C1[[#This Row],[Response]]&lt;&gt;"", "Done", "")))</f>
        <v>Add</v>
      </c>
      <c r="K9" s="147"/>
      <c r="L9" s="46"/>
      <c r="M9" s="46"/>
      <c r="N9" s="46"/>
      <c r="O9" s="46"/>
    </row>
    <row r="10" spans="1:16" ht="25">
      <c r="A10" s="39" t="s">
        <v>591</v>
      </c>
      <c r="B10" s="39" t="s">
        <v>604</v>
      </c>
      <c r="C10" s="143" t="s">
        <v>765</v>
      </c>
      <c r="D10" s="140"/>
      <c r="E10" s="222" t="s">
        <v>652</v>
      </c>
      <c r="F10" s="160" t="s">
        <v>613</v>
      </c>
      <c r="G10" s="159" t="s">
        <v>467</v>
      </c>
      <c r="H10" s="160" t="s">
        <v>467</v>
      </c>
      <c r="I10" s="160" t="str">
        <f>IF(AND(TBL_Q_05_PAS_C1[[#This Row],[Include?]]="Yes", TBL_Q_05_PAS_C1[[#This Row],[Response?]]="Yes"), "", "Shade")</f>
        <v/>
      </c>
      <c r="J10" s="160" t="str">
        <f>IF(TBL_Q_05_PAS_C1[[#This Row],[Shade]]="Shade", "", IF(TBL_Q_05_PAS_C1[[#This Row],[Response?]]="Yes", IF(TBL_Q_05_PAS_C1[[#This Row],[Response]]&lt;&gt;"", "Done", "Add"), IF(TBL_Q_05_PAS_C1[[#This Row],[Response]]&lt;&gt;"", "Done", "")))</f>
        <v>Add</v>
      </c>
      <c r="K10" s="147"/>
      <c r="L10" s="10"/>
      <c r="M10" s="10"/>
      <c r="N10" s="10"/>
      <c r="O10" s="10"/>
    </row>
    <row r="11" spans="1:16">
      <c r="A11" s="60"/>
      <c r="B11" s="60"/>
      <c r="C11" s="143" t="s">
        <v>605</v>
      </c>
      <c r="D11" s="140"/>
      <c r="E11" s="222" t="s">
        <v>653</v>
      </c>
      <c r="F11" s="160" t="s">
        <v>614</v>
      </c>
      <c r="G11" s="159" t="s">
        <v>467</v>
      </c>
      <c r="H11" s="160" t="s">
        <v>320</v>
      </c>
      <c r="I11" s="162"/>
      <c r="J11" s="160" t="str">
        <f>IF(TBL_Q_05_PAS_C1[[#This Row],[Shade]]="Shade", "", IF(TBL_Q_05_PAS_C1[[#This Row],[Response?]]="Yes", IF(TBL_Q_05_PAS_C1[[#This Row],[Response]]&lt;&gt;"", "Done", "Add"), IF(TBL_Q_05_PAS_C1[[#This Row],[Response]]&lt;&gt;"", "Done", "")))</f>
        <v/>
      </c>
      <c r="K11" s="147"/>
      <c r="L11" s="10"/>
      <c r="M11" s="10"/>
      <c r="N11" s="10"/>
      <c r="O11" s="10"/>
    </row>
    <row r="12" spans="1:16">
      <c r="A12" s="60"/>
      <c r="B12" s="60"/>
      <c r="C12" s="143" t="s">
        <v>606</v>
      </c>
      <c r="D12" s="140"/>
      <c r="E12" s="222" t="s">
        <v>654</v>
      </c>
      <c r="F12" s="160" t="s">
        <v>615</v>
      </c>
      <c r="G12" s="159" t="s">
        <v>467</v>
      </c>
      <c r="H12" s="160" t="s">
        <v>320</v>
      </c>
      <c r="I12" s="162"/>
      <c r="J12" s="160" t="str">
        <f>IF(TBL_Q_05_PAS_C1[[#This Row],[Shade]]="Shade", "", IF(TBL_Q_05_PAS_C1[[#This Row],[Response?]]="Yes", IF(TBL_Q_05_PAS_C1[[#This Row],[Response]]&lt;&gt;"", "Done", "Add"), IF(TBL_Q_05_PAS_C1[[#This Row],[Response]]&lt;&gt;"", "Done", "")))</f>
        <v/>
      </c>
      <c r="K12" s="147"/>
      <c r="L12" s="10"/>
      <c r="M12" s="10"/>
      <c r="N12" s="10"/>
      <c r="O12" s="10"/>
    </row>
    <row r="13" spans="1:16">
      <c r="A13" s="60"/>
      <c r="B13" s="60"/>
      <c r="C13" s="143" t="s">
        <v>607</v>
      </c>
      <c r="D13" s="140"/>
      <c r="E13" s="222" t="s">
        <v>655</v>
      </c>
      <c r="F13" s="160" t="s">
        <v>616</v>
      </c>
      <c r="G13" s="159" t="s">
        <v>467</v>
      </c>
      <c r="H13" s="160" t="s">
        <v>467</v>
      </c>
      <c r="I13" s="160" t="str">
        <f>IF(AND(TBL_Q_05_PAS_C1[[#This Row],[Include?]]="Yes", TBL_Q_05_PAS_C1[[#This Row],[Response?]]="Yes"), "", "Shade")</f>
        <v/>
      </c>
      <c r="J13" s="160" t="str">
        <f>IF(TBL_Q_05_PAS_C1[[#This Row],[Shade]]="Shade", "", IF(TBL_Q_05_PAS_C1[[#This Row],[Response?]]="Yes", IF(TBL_Q_05_PAS_C1[[#This Row],[Response]]&lt;&gt;"", "Done", "Add"), IF(TBL_Q_05_PAS_C1[[#This Row],[Response]]&lt;&gt;"", "Done", "")))</f>
        <v>Add</v>
      </c>
      <c r="K13" s="147"/>
      <c r="L13" s="10"/>
      <c r="M13" s="10"/>
      <c r="N13" s="10"/>
      <c r="O13" s="10"/>
    </row>
    <row r="14" spans="1:16">
      <c r="A14" s="60"/>
      <c r="B14" s="60"/>
      <c r="C14" s="143" t="s">
        <v>608</v>
      </c>
      <c r="D14" s="140"/>
      <c r="E14" s="222" t="s">
        <v>656</v>
      </c>
      <c r="F14" s="160" t="s">
        <v>617</v>
      </c>
      <c r="G14" s="159" t="s">
        <v>467</v>
      </c>
      <c r="H14" s="160" t="s">
        <v>320</v>
      </c>
      <c r="I14" s="162"/>
      <c r="J14" s="160" t="str">
        <f>IF(TBL_Q_05_PAS_C1[[#This Row],[Shade]]="Shade", "", IF(TBL_Q_05_PAS_C1[[#This Row],[Response?]]="Yes", IF(TBL_Q_05_PAS_C1[[#This Row],[Response]]&lt;&gt;"", "Done", "Add"), IF(TBL_Q_05_PAS_C1[[#This Row],[Response]]&lt;&gt;"", "Done", "")))</f>
        <v/>
      </c>
      <c r="K14" s="147"/>
      <c r="L14" s="10"/>
      <c r="M14" s="10"/>
      <c r="N14" s="10"/>
      <c r="O14" s="10"/>
    </row>
    <row r="15" spans="1:16">
      <c r="A15" s="60"/>
      <c r="B15" s="60"/>
      <c r="C15" s="143" t="s">
        <v>609</v>
      </c>
      <c r="D15" s="140"/>
      <c r="E15" s="222" t="s">
        <v>657</v>
      </c>
      <c r="F15" s="160" t="s">
        <v>618</v>
      </c>
      <c r="G15" s="159" t="s">
        <v>467</v>
      </c>
      <c r="H15" s="160" t="s">
        <v>467</v>
      </c>
      <c r="I15" s="160" t="str">
        <f>IF(AND(TBL_Q_05_PAS_C1[[#This Row],[Include?]]="Yes", TBL_Q_05_PAS_C1[[#This Row],[Response?]]="Yes"), "", "Shade")</f>
        <v/>
      </c>
      <c r="J15" s="160" t="str">
        <f>IF(TBL_Q_05_PAS_C1[[#This Row],[Shade]]="Shade", "", IF(TBL_Q_05_PAS_C1[[#This Row],[Response?]]="Yes", IF(TBL_Q_05_PAS_C1[[#This Row],[Response]]&lt;&gt;"", "Done", "Add"), IF(TBL_Q_05_PAS_C1[[#This Row],[Response]]&lt;&gt;"", "Done", "")))</f>
        <v>Add</v>
      </c>
      <c r="K15" s="147"/>
      <c r="L15" s="10"/>
      <c r="M15" s="10"/>
      <c r="N15" s="10"/>
      <c r="O15" s="10"/>
    </row>
    <row r="16" spans="1:16">
      <c r="A16" s="59"/>
      <c r="B16" s="59" t="s">
        <v>611</v>
      </c>
      <c r="C16" s="143" t="s">
        <v>610</v>
      </c>
      <c r="D16" s="140"/>
      <c r="E16" s="222" t="s">
        <v>658</v>
      </c>
      <c r="F16" s="160" t="s">
        <v>619</v>
      </c>
      <c r="G16" s="159" t="s">
        <v>467</v>
      </c>
      <c r="H16" s="160" t="s">
        <v>320</v>
      </c>
      <c r="I16" s="162"/>
      <c r="J16" s="160" t="str">
        <f>IF(TBL_Q_05_PAS_C1[[#This Row],[Shade]]="Shade", "", IF(TBL_Q_05_PAS_C1[[#This Row],[Response?]]="Yes", IF(TBL_Q_05_PAS_C1[[#This Row],[Response]]&lt;&gt;"", "Done", "Add"), IF(TBL_Q_05_PAS_C1[[#This Row],[Response]]&lt;&gt;"", "Done", "")))</f>
        <v/>
      </c>
      <c r="K16" s="147"/>
      <c r="L16" s="10"/>
      <c r="M16" s="10"/>
      <c r="N16" s="10"/>
      <c r="O16" s="10"/>
    </row>
    <row r="17" spans="1:15">
      <c r="A17" s="39" t="s">
        <v>592</v>
      </c>
      <c r="B17" s="39" t="s">
        <v>766</v>
      </c>
      <c r="C17" s="143" t="s">
        <v>640</v>
      </c>
      <c r="D17" s="140"/>
      <c r="E17" s="222" t="s">
        <v>659</v>
      </c>
      <c r="F17" s="160" t="s">
        <v>620</v>
      </c>
      <c r="G17" s="159" t="s">
        <v>467</v>
      </c>
      <c r="H17" s="160" t="s">
        <v>467</v>
      </c>
      <c r="I17" s="160" t="str">
        <f>IF(AND(TBL_Q_05_PAS_C1[[#This Row],[Include?]]="Yes", TBL_Q_05_PAS_C1[[#This Row],[Response?]]="Yes"), "", "Shade")</f>
        <v/>
      </c>
      <c r="J17" s="160" t="str">
        <f>IF(TBL_Q_05_PAS_C1[[#This Row],[Shade]]="Shade", "", IF(TBL_Q_05_PAS_C1[[#This Row],[Response?]]="Yes", IF(TBL_Q_05_PAS_C1[[#This Row],[Response]]&lt;&gt;"", "Done", "Add"), IF(TBL_Q_05_PAS_C1[[#This Row],[Response]]&lt;&gt;"", "Done", "")))</f>
        <v>Add</v>
      </c>
      <c r="K17" s="147"/>
      <c r="L17" s="10"/>
      <c r="M17" s="10"/>
      <c r="N17" s="10"/>
      <c r="O17" s="10"/>
    </row>
    <row r="18" spans="1:15">
      <c r="A18" s="60"/>
      <c r="B18" s="60" t="s">
        <v>767</v>
      </c>
      <c r="C18" s="143" t="s">
        <v>641</v>
      </c>
      <c r="D18" s="140"/>
      <c r="E18" s="222" t="s">
        <v>660</v>
      </c>
      <c r="F18" s="160" t="s">
        <v>621</v>
      </c>
      <c r="G18" s="159" t="s">
        <v>467</v>
      </c>
      <c r="H18" s="160" t="s">
        <v>467</v>
      </c>
      <c r="I18" s="160" t="str">
        <f>IF(AND(TBL_Q_05_PAS_C1[[#This Row],[Include?]]="Yes", TBL_Q_05_PAS_C1[[#This Row],[Response?]]="Yes"), "", "Shade")</f>
        <v/>
      </c>
      <c r="J18" s="160" t="str">
        <f>IF(TBL_Q_05_PAS_C1[[#This Row],[Shade]]="Shade", "", IF(TBL_Q_05_PAS_C1[[#This Row],[Response?]]="Yes", IF(TBL_Q_05_PAS_C1[[#This Row],[Response]]&lt;&gt;"", "Done", "Add"), IF(TBL_Q_05_PAS_C1[[#This Row],[Response]]&lt;&gt;"", "Done", "")))</f>
        <v>Add</v>
      </c>
      <c r="K18" s="147"/>
      <c r="L18" s="10"/>
      <c r="M18" s="10"/>
      <c r="N18" s="10"/>
      <c r="O18" s="10"/>
    </row>
    <row r="19" spans="1:15">
      <c r="A19" s="60"/>
      <c r="B19" s="60"/>
      <c r="C19" s="143" t="s">
        <v>642</v>
      </c>
      <c r="D19" s="140"/>
      <c r="E19" s="222" t="s">
        <v>661</v>
      </c>
      <c r="F19" s="160" t="s">
        <v>622</v>
      </c>
      <c r="G19" s="159" t="s">
        <v>467</v>
      </c>
      <c r="H19" s="160" t="s">
        <v>467</v>
      </c>
      <c r="I19" s="160" t="str">
        <f>IF(AND(TBL_Q_05_PAS_C1[[#This Row],[Include?]]="Yes", TBL_Q_05_PAS_C1[[#This Row],[Response?]]="Yes"), "", "Shade")</f>
        <v/>
      </c>
      <c r="J19" s="160" t="str">
        <f>IF(TBL_Q_05_PAS_C1[[#This Row],[Shade]]="Shade", "", IF(TBL_Q_05_PAS_C1[[#This Row],[Response?]]="Yes", IF(TBL_Q_05_PAS_C1[[#This Row],[Response]]&lt;&gt;"", "Done", "Add"), IF(TBL_Q_05_PAS_C1[[#This Row],[Response]]&lt;&gt;"", "Done", "")))</f>
        <v>Add</v>
      </c>
      <c r="K19" s="147"/>
      <c r="L19" s="10"/>
      <c r="M19" s="10"/>
      <c r="N19" s="10"/>
      <c r="O19" s="10"/>
    </row>
    <row r="20" spans="1:15">
      <c r="A20" s="60"/>
      <c r="B20" s="60"/>
      <c r="C20" s="143" t="s">
        <v>643</v>
      </c>
      <c r="D20" s="140"/>
      <c r="E20" s="222" t="s">
        <v>662</v>
      </c>
      <c r="F20" s="160" t="s">
        <v>623</v>
      </c>
      <c r="G20" s="159" t="s">
        <v>467</v>
      </c>
      <c r="H20" s="160" t="s">
        <v>467</v>
      </c>
      <c r="I20" s="160" t="str">
        <f>IF(AND(TBL_Q_05_PAS_C1[[#This Row],[Include?]]="Yes", TBL_Q_05_PAS_C1[[#This Row],[Response?]]="Yes"), "", "Shade")</f>
        <v/>
      </c>
      <c r="J20" s="160" t="str">
        <f>IF(TBL_Q_05_PAS_C1[[#This Row],[Shade]]="Shade", "", IF(TBL_Q_05_PAS_C1[[#This Row],[Response?]]="Yes", IF(TBL_Q_05_PAS_C1[[#This Row],[Response]]&lt;&gt;"", "Done", "Add"), IF(TBL_Q_05_PAS_C1[[#This Row],[Response]]&lt;&gt;"", "Done", "")))</f>
        <v>Add</v>
      </c>
      <c r="K20" s="147"/>
      <c r="L20" s="10"/>
      <c r="M20" s="10"/>
      <c r="N20" s="10"/>
      <c r="O20" s="10"/>
    </row>
    <row r="21" spans="1:15">
      <c r="A21" s="60"/>
      <c r="B21" s="60"/>
      <c r="C21" s="143" t="s">
        <v>644</v>
      </c>
      <c r="D21" s="140"/>
      <c r="E21" s="222" t="s">
        <v>663</v>
      </c>
      <c r="F21" s="160" t="s">
        <v>624</v>
      </c>
      <c r="G21" s="159" t="s">
        <v>467</v>
      </c>
      <c r="H21" s="160" t="s">
        <v>467</v>
      </c>
      <c r="I21" s="160" t="str">
        <f>IF(AND(TBL_Q_05_PAS_C1[[#This Row],[Include?]]="Yes", TBL_Q_05_PAS_C1[[#This Row],[Response?]]="Yes"), "", "Shade")</f>
        <v/>
      </c>
      <c r="J21" s="160" t="str">
        <f>IF(TBL_Q_05_PAS_C1[[#This Row],[Shade]]="Shade", "", IF(TBL_Q_05_PAS_C1[[#This Row],[Response?]]="Yes", IF(TBL_Q_05_PAS_C1[[#This Row],[Response]]&lt;&gt;"", "Done", "Add"), IF(TBL_Q_05_PAS_C1[[#This Row],[Response]]&lt;&gt;"", "Done", "")))</f>
        <v>Add</v>
      </c>
      <c r="K21" s="147"/>
      <c r="L21" s="10"/>
      <c r="M21" s="10"/>
      <c r="N21" s="10"/>
      <c r="O21" s="10"/>
    </row>
    <row r="22" spans="1:15">
      <c r="A22" s="60"/>
      <c r="B22" s="60"/>
      <c r="C22" s="143" t="s">
        <v>645</v>
      </c>
      <c r="D22" s="47"/>
      <c r="E22" s="222" t="s">
        <v>664</v>
      </c>
      <c r="F22" s="160" t="s">
        <v>625</v>
      </c>
      <c r="G22" s="159" t="s">
        <v>467</v>
      </c>
      <c r="H22" s="160" t="s">
        <v>467</v>
      </c>
      <c r="I22" s="160" t="str">
        <f>IF(AND(TBL_Q_05_PAS_C1[[#This Row],[Include?]]="Yes", TBL_Q_05_PAS_C1[[#This Row],[Response?]]="Yes"), "", "Shade")</f>
        <v/>
      </c>
      <c r="J22" s="160" t="str">
        <f>IF(TBL_Q_05_PAS_C1[[#This Row],[Shade]]="Shade", "", IF(TBL_Q_05_PAS_C1[[#This Row],[Response?]]="Yes", IF(TBL_Q_05_PAS_C1[[#This Row],[Response]]&lt;&gt;"", "Done", "Add"), IF(TBL_Q_05_PAS_C1[[#This Row],[Response]]&lt;&gt;"", "Done", "")))</f>
        <v>Add</v>
      </c>
      <c r="K22" s="147"/>
      <c r="L22" s="10"/>
      <c r="M22" s="10"/>
      <c r="N22" s="10"/>
      <c r="O22" s="10"/>
    </row>
    <row r="23" spans="1:15">
      <c r="A23" s="60"/>
      <c r="B23" s="60"/>
      <c r="C23" s="143" t="s">
        <v>646</v>
      </c>
      <c r="D23" s="47"/>
      <c r="E23" s="222" t="s">
        <v>665</v>
      </c>
      <c r="F23" s="160" t="s">
        <v>626</v>
      </c>
      <c r="G23" s="159" t="s">
        <v>467</v>
      </c>
      <c r="H23" s="160" t="s">
        <v>467</v>
      </c>
      <c r="I23" s="160" t="str">
        <f>IF(AND(TBL_Q_05_PAS_C1[[#This Row],[Include?]]="Yes", TBL_Q_05_PAS_C1[[#This Row],[Response?]]="Yes"), "", "Shade")</f>
        <v/>
      </c>
      <c r="J23" s="160" t="str">
        <f>IF(TBL_Q_05_PAS_C1[[#This Row],[Shade]]="Shade", "", IF(TBL_Q_05_PAS_C1[[#This Row],[Response?]]="Yes", IF(TBL_Q_05_PAS_C1[[#This Row],[Response]]&lt;&gt;"", "Done", "Add"), IF(TBL_Q_05_PAS_C1[[#This Row],[Response]]&lt;&gt;"", "Done", "")))</f>
        <v>Add</v>
      </c>
      <c r="K23" s="147"/>
      <c r="L23" s="10"/>
      <c r="M23" s="10"/>
      <c r="N23" s="10"/>
      <c r="O23" s="10"/>
    </row>
    <row r="24" spans="1:15" ht="25">
      <c r="A24" s="60"/>
      <c r="B24" s="60"/>
      <c r="C24" s="143" t="s">
        <v>768</v>
      </c>
      <c r="D24" s="140"/>
      <c r="E24" s="222" t="s">
        <v>666</v>
      </c>
      <c r="F24" s="160" t="s">
        <v>627</v>
      </c>
      <c r="G24" s="159" t="s">
        <v>467</v>
      </c>
      <c r="H24" s="160" t="s">
        <v>467</v>
      </c>
      <c r="I24" s="160" t="str">
        <f>IF(AND(TBL_Q_05_PAS_C1[[#This Row],[Include?]]="Yes", TBL_Q_05_PAS_C1[[#This Row],[Response?]]="Yes"), "", "Shade")</f>
        <v/>
      </c>
      <c r="J24" s="160" t="str">
        <f>IF(TBL_Q_05_PAS_C1[[#This Row],[Shade]]="Shade", "", IF(TBL_Q_05_PAS_C1[[#This Row],[Response?]]="Yes", IF(TBL_Q_05_PAS_C1[[#This Row],[Response]]&lt;&gt;"", "Done", "Add"), IF(TBL_Q_05_PAS_C1[[#This Row],[Response]]&lt;&gt;"", "Done", "")))</f>
        <v>Add</v>
      </c>
      <c r="K24" s="147"/>
      <c r="L24" s="10"/>
      <c r="M24" s="10"/>
      <c r="N24" s="10"/>
      <c r="O24" s="10"/>
    </row>
    <row r="25" spans="1:15">
      <c r="A25" s="60"/>
      <c r="B25" s="60"/>
      <c r="C25" s="143" t="s">
        <v>647</v>
      </c>
      <c r="D25" s="140"/>
      <c r="E25" s="222" t="s">
        <v>667</v>
      </c>
      <c r="F25" s="160" t="s">
        <v>628</v>
      </c>
      <c r="G25" s="159" t="s">
        <v>467</v>
      </c>
      <c r="H25" s="160" t="s">
        <v>320</v>
      </c>
      <c r="I25" s="162"/>
      <c r="J25" s="160" t="str">
        <f>IF(TBL_Q_05_PAS_C1[[#This Row],[Shade]]="Shade", "", IF(TBL_Q_05_PAS_C1[[#This Row],[Response?]]="Yes", IF(TBL_Q_05_PAS_C1[[#This Row],[Response]]&lt;&gt;"", "Done", "Add"), IF(TBL_Q_05_PAS_C1[[#This Row],[Response]]&lt;&gt;"", "Done", "")))</f>
        <v/>
      </c>
      <c r="K25" s="147"/>
      <c r="L25" s="10"/>
      <c r="M25" s="10"/>
      <c r="N25" s="10"/>
      <c r="O25" s="10"/>
    </row>
    <row r="26" spans="1:15">
      <c r="A26" s="60"/>
      <c r="B26" s="60"/>
      <c r="C26" s="143" t="s">
        <v>648</v>
      </c>
      <c r="D26" s="140"/>
      <c r="E26" s="222" t="s">
        <v>668</v>
      </c>
      <c r="F26" s="160" t="s">
        <v>629</v>
      </c>
      <c r="G26" s="159" t="s">
        <v>467</v>
      </c>
      <c r="H26" s="160" t="s">
        <v>320</v>
      </c>
      <c r="I26" s="162"/>
      <c r="J26" s="160" t="str">
        <f>IF(TBL_Q_05_PAS_C1[[#This Row],[Shade]]="Shade", "", IF(TBL_Q_05_PAS_C1[[#This Row],[Response?]]="Yes", IF(TBL_Q_05_PAS_C1[[#This Row],[Response]]&lt;&gt;"", "Done", "Add"), IF(TBL_Q_05_PAS_C1[[#This Row],[Response]]&lt;&gt;"", "Done", "")))</f>
        <v/>
      </c>
      <c r="K26" s="147"/>
      <c r="L26" s="10"/>
      <c r="M26" s="10"/>
      <c r="N26" s="10"/>
      <c r="O26" s="10"/>
    </row>
    <row r="27" spans="1:15">
      <c r="A27" s="60"/>
      <c r="B27" s="60"/>
      <c r="C27" s="143" t="s">
        <v>649</v>
      </c>
      <c r="D27" s="140"/>
      <c r="E27" s="222" t="s">
        <v>669</v>
      </c>
      <c r="F27" s="160" t="s">
        <v>630</v>
      </c>
      <c r="G27" s="159" t="s">
        <v>467</v>
      </c>
      <c r="H27" s="160" t="s">
        <v>467</v>
      </c>
      <c r="I27" s="160" t="str">
        <f>IF(AND(TBL_Q_05_PAS_C1[[#This Row],[Include?]]="Yes", TBL_Q_05_PAS_C1[[#This Row],[Response?]]="Yes"), "", "Shade")</f>
        <v/>
      </c>
      <c r="J27" s="160" t="str">
        <f>IF(TBL_Q_05_PAS_C1[[#This Row],[Shade]]="Shade", "", IF(TBL_Q_05_PAS_C1[[#This Row],[Response?]]="Yes", IF(TBL_Q_05_PAS_C1[[#This Row],[Response]]&lt;&gt;"", "Done", "Add"), IF(TBL_Q_05_PAS_C1[[#This Row],[Response]]&lt;&gt;"", "Done", "")))</f>
        <v>Add</v>
      </c>
      <c r="K27" s="147"/>
      <c r="L27" s="10"/>
      <c r="M27" s="10"/>
      <c r="N27" s="10"/>
      <c r="O27" s="10"/>
    </row>
    <row r="28" spans="1:15">
      <c r="A28" s="60"/>
      <c r="B28" s="60"/>
      <c r="C28" s="143" t="s">
        <v>650</v>
      </c>
      <c r="D28" s="140"/>
      <c r="E28" s="222" t="s">
        <v>670</v>
      </c>
      <c r="F28" s="160" t="s">
        <v>631</v>
      </c>
      <c r="G28" s="159" t="s">
        <v>467</v>
      </c>
      <c r="H28" s="160" t="s">
        <v>320</v>
      </c>
      <c r="I28" s="162"/>
      <c r="J28" s="160" t="str">
        <f>IF(TBL_Q_05_PAS_C1[[#This Row],[Shade]]="Shade", "", IF(TBL_Q_05_PAS_C1[[#This Row],[Response?]]="Yes", IF(TBL_Q_05_PAS_C1[[#This Row],[Response]]&lt;&gt;"", "Done", "Add"), IF(TBL_Q_05_PAS_C1[[#This Row],[Response]]&lt;&gt;"", "Done", "")))</f>
        <v/>
      </c>
      <c r="K28" s="147"/>
      <c r="L28" s="10"/>
      <c r="M28" s="10"/>
      <c r="N28" s="10"/>
      <c r="O28" s="10"/>
    </row>
    <row r="29" spans="1:15">
      <c r="A29" s="59"/>
      <c r="B29" s="59"/>
      <c r="C29" s="143" t="s">
        <v>651</v>
      </c>
      <c r="D29" s="140"/>
      <c r="E29" s="222" t="s">
        <v>671</v>
      </c>
      <c r="F29" s="160" t="s">
        <v>632</v>
      </c>
      <c r="G29" s="159" t="s">
        <v>467</v>
      </c>
      <c r="H29" s="160" t="s">
        <v>467</v>
      </c>
      <c r="I29" s="160" t="str">
        <f>IF(AND(TBL_Q_05_PAS_C1[[#This Row],[Include?]]="Yes", TBL_Q_05_PAS_C1[[#This Row],[Response?]]="Yes"), "", "Shade")</f>
        <v/>
      </c>
      <c r="J29" s="160" t="str">
        <f>IF(TBL_Q_05_PAS_C1[[#This Row],[Shade]]="Shade", "", IF(TBL_Q_05_PAS_C1[[#This Row],[Response?]]="Yes", IF(TBL_Q_05_PAS_C1[[#This Row],[Response]]&lt;&gt;"", "Done", "Add"), IF(TBL_Q_05_PAS_C1[[#This Row],[Response]]&lt;&gt;"", "Done", "")))</f>
        <v>Add</v>
      </c>
      <c r="K29" s="147"/>
      <c r="L29" s="10"/>
      <c r="M29" s="10"/>
      <c r="N29" s="10"/>
      <c r="O29" s="10"/>
    </row>
    <row r="30" spans="1:15" ht="37.5">
      <c r="A30" s="39" t="s">
        <v>593</v>
      </c>
      <c r="B30" s="39" t="s">
        <v>1773</v>
      </c>
      <c r="C30" s="143" t="s">
        <v>672</v>
      </c>
      <c r="D30" s="140"/>
      <c r="E30" s="222" t="s">
        <v>675</v>
      </c>
      <c r="F30" s="160" t="s">
        <v>633</v>
      </c>
      <c r="G30" s="159" t="s">
        <v>467</v>
      </c>
      <c r="H30" s="162" t="str">
        <f>IF(D31&lt;&gt;"", "No", "Yes")</f>
        <v>Yes</v>
      </c>
      <c r="I30" s="160" t="str">
        <f>IF(AND(TBL_Q_05_PAS_C1[[#This Row],[Include?]]="Yes", TBL_Q_05_PAS_C1[[#This Row],[Response?]]="Yes"), "", "Shade")</f>
        <v/>
      </c>
      <c r="J30" s="160" t="str">
        <f>IF(TBL_Q_05_PAS_C1[[#This Row],[Shade]]="Shade", "", IF(TBL_Q_05_PAS_C1[[#This Row],[Response?]]="Yes", IF(TBL_Q_05_PAS_C1[[#This Row],[Response]]&lt;&gt;"", "Done", "Add"), IF(TBL_Q_05_PAS_C1[[#This Row],[Response]]&lt;&gt;"", "Done", "")))</f>
        <v>Add</v>
      </c>
      <c r="K30" s="147"/>
      <c r="L30" s="10"/>
      <c r="M30" s="10"/>
      <c r="N30" s="10"/>
      <c r="O30" s="10"/>
    </row>
    <row r="31" spans="1:15" ht="25">
      <c r="A31" s="59"/>
      <c r="B31" s="59"/>
      <c r="C31" s="143" t="s">
        <v>673</v>
      </c>
      <c r="D31" s="140"/>
      <c r="E31" s="222" t="s">
        <v>676</v>
      </c>
      <c r="F31" s="160" t="s">
        <v>634</v>
      </c>
      <c r="G31" s="159" t="s">
        <v>467</v>
      </c>
      <c r="H31" s="162" t="str">
        <f>IF(D30&lt;&gt;"", "No", "Yes")</f>
        <v>Yes</v>
      </c>
      <c r="I31" s="160" t="str">
        <f>IF(AND(TBL_Q_05_PAS_C1[[#This Row],[Include?]]="Yes", TBL_Q_05_PAS_C1[[#This Row],[Response?]]="Yes"), "", "Shade")</f>
        <v/>
      </c>
      <c r="J31" s="160" t="str">
        <f>IF(TBL_Q_05_PAS_C1[[#This Row],[Shade]]="Shade", "", IF(TBL_Q_05_PAS_C1[[#This Row],[Response?]]="Yes", IF(TBL_Q_05_PAS_C1[[#This Row],[Response]]&lt;&gt;"", "Done", "Add"), IF(TBL_Q_05_PAS_C1[[#This Row],[Response]]&lt;&gt;"", "Done", "")))</f>
        <v>Add</v>
      </c>
      <c r="K31" s="147"/>
      <c r="L31" s="10"/>
      <c r="M31" s="10"/>
      <c r="N31" s="10"/>
      <c r="O31" s="10"/>
    </row>
    <row r="32" spans="1:15">
      <c r="A32" s="50" t="s">
        <v>594</v>
      </c>
      <c r="B32" s="50" t="s">
        <v>674</v>
      </c>
      <c r="C32" s="148"/>
      <c r="D32" s="140"/>
      <c r="E32" s="222" t="s">
        <v>594</v>
      </c>
      <c r="F32" s="160" t="s">
        <v>635</v>
      </c>
      <c r="G32" s="159" t="s">
        <v>467</v>
      </c>
      <c r="H32" s="160" t="s">
        <v>467</v>
      </c>
      <c r="I32" s="160" t="str">
        <f>IF(AND(TBL_Q_05_PAS_C1[[#This Row],[Include?]]="Yes", TBL_Q_05_PAS_C1[[#This Row],[Response?]]="Yes"), "", "Shade")</f>
        <v/>
      </c>
      <c r="J32" s="160" t="str">
        <f>IF(TBL_Q_05_PAS_C1[[#This Row],[Shade]]="Shade", "", IF(TBL_Q_05_PAS_C1[[#This Row],[Response?]]="Yes", IF(TBL_Q_05_PAS_C1[[#This Row],[Response]]&lt;&gt;"", "Done", "Add"), IF(TBL_Q_05_PAS_C1[[#This Row],[Response]]&lt;&gt;"", "Done", "")))</f>
        <v>Add</v>
      </c>
      <c r="K32" s="147" t="s">
        <v>683</v>
      </c>
      <c r="L32" s="10"/>
      <c r="M32" s="10"/>
      <c r="N32" s="10"/>
      <c r="O32" s="10"/>
    </row>
    <row r="33" spans="1:15">
      <c r="A33" s="50" t="s">
        <v>595</v>
      </c>
      <c r="B33" s="50" t="s">
        <v>677</v>
      </c>
      <c r="C33" s="148"/>
      <c r="D33" s="140"/>
      <c r="E33" s="222" t="s">
        <v>595</v>
      </c>
      <c r="F33" s="160" t="s">
        <v>636</v>
      </c>
      <c r="G33" s="159" t="s">
        <v>467</v>
      </c>
      <c r="H33" s="160" t="s">
        <v>467</v>
      </c>
      <c r="I33" s="160" t="str">
        <f>IF(AND(TBL_Q_05_PAS_C1[[#This Row],[Include?]]="Yes", TBL_Q_05_PAS_C1[[#This Row],[Response?]]="Yes"), "", "Shade")</f>
        <v/>
      </c>
      <c r="J33" s="160" t="str">
        <f>IF(TBL_Q_05_PAS_C1[[#This Row],[Shade]]="Shade", "", IF(TBL_Q_05_PAS_C1[[#This Row],[Response?]]="Yes", IF(TBL_Q_05_PAS_C1[[#This Row],[Response]]&lt;&gt;"", "Done", "Add"), IF(TBL_Q_05_PAS_C1[[#This Row],[Response]]&lt;&gt;"", "Done", "")))</f>
        <v>Add</v>
      </c>
      <c r="K33" s="147" t="s">
        <v>684</v>
      </c>
      <c r="L33" s="10"/>
      <c r="M33" s="10"/>
      <c r="N33" s="10"/>
      <c r="O33" s="10"/>
    </row>
    <row r="34" spans="1:15" ht="25">
      <c r="A34" s="50" t="s">
        <v>596</v>
      </c>
      <c r="B34" s="50" t="s">
        <v>678</v>
      </c>
      <c r="C34" s="148"/>
      <c r="D34" s="140"/>
      <c r="E34" s="222" t="s">
        <v>596</v>
      </c>
      <c r="F34" s="160" t="s">
        <v>637</v>
      </c>
      <c r="G34" s="159" t="s">
        <v>467</v>
      </c>
      <c r="H34" s="160" t="s">
        <v>467</v>
      </c>
      <c r="I34" s="160" t="str">
        <f>IF(AND(TBL_Q_05_PAS_C1[[#This Row],[Include?]]="Yes", TBL_Q_05_PAS_C1[[#This Row],[Response?]]="Yes"), "", "Shade")</f>
        <v/>
      </c>
      <c r="J34" s="160" t="str">
        <f>IF(TBL_Q_05_PAS_C1[[#This Row],[Shade]]="Shade", "", IF(TBL_Q_05_PAS_C1[[#This Row],[Response?]]="Yes", IF(TBL_Q_05_PAS_C1[[#This Row],[Response]]&lt;&gt;"", "Done", "Add"), IF(TBL_Q_05_PAS_C1[[#This Row],[Response]]&lt;&gt;"", "Done", "")))</f>
        <v>Add</v>
      </c>
      <c r="K34" s="147" t="s">
        <v>685</v>
      </c>
      <c r="L34" s="10"/>
      <c r="M34" s="10"/>
      <c r="N34" s="10"/>
      <c r="O34" s="10"/>
    </row>
    <row r="35" spans="1:15">
      <c r="A35" s="50" t="s">
        <v>597</v>
      </c>
      <c r="B35" s="50" t="s">
        <v>679</v>
      </c>
      <c r="C35" s="148"/>
      <c r="D35" s="140"/>
      <c r="E35" s="222" t="s">
        <v>597</v>
      </c>
      <c r="F35" s="160" t="s">
        <v>638</v>
      </c>
      <c r="G35" s="159" t="s">
        <v>467</v>
      </c>
      <c r="H35" s="160" t="s">
        <v>467</v>
      </c>
      <c r="I35" s="160" t="str">
        <f>IF(AND(TBL_Q_05_PAS_C1[[#This Row],[Include?]]="Yes", TBL_Q_05_PAS_C1[[#This Row],[Response?]]="Yes"), "", "Shade")</f>
        <v/>
      </c>
      <c r="J35" s="160" t="str">
        <f>IF(TBL_Q_05_PAS_C1[[#This Row],[Shade]]="Shade", "", IF(TBL_Q_05_PAS_C1[[#This Row],[Response?]]="Yes", IF(TBL_Q_05_PAS_C1[[#This Row],[Response]]&lt;&gt;"", "Done", "Add"), IF(TBL_Q_05_PAS_C1[[#This Row],[Response]]&lt;&gt;"", "Done", "")))</f>
        <v>Add</v>
      </c>
      <c r="K35" s="147" t="s">
        <v>686</v>
      </c>
      <c r="L35" s="10"/>
      <c r="M35" s="10"/>
      <c r="N35" s="10"/>
      <c r="O35" s="10"/>
    </row>
    <row r="36" spans="1:15" ht="25">
      <c r="A36" s="39" t="s">
        <v>598</v>
      </c>
      <c r="B36" s="39" t="s">
        <v>680</v>
      </c>
      <c r="C36" s="143" t="s">
        <v>682</v>
      </c>
      <c r="D36" s="140"/>
      <c r="E36" s="222" t="s">
        <v>598</v>
      </c>
      <c r="F36" s="160" t="s">
        <v>639</v>
      </c>
      <c r="G36" s="159" t="s">
        <v>467</v>
      </c>
      <c r="H36" s="160" t="s">
        <v>467</v>
      </c>
      <c r="I36" s="160" t="str">
        <f>IF(AND(TBL_Q_05_PAS_C1[[#This Row],[Include?]]="Yes", TBL_Q_05_PAS_C1[[#This Row],[Response?]]="Yes"), "", "Shade")</f>
        <v/>
      </c>
      <c r="J36" s="160" t="str">
        <f>IF(TBL_Q_05_PAS_C1[[#This Row],[Shade]]="Shade", "", IF(TBL_Q_05_PAS_C1[[#This Row],[Response?]]="Yes", IF(TBL_Q_05_PAS_C1[[#This Row],[Response]]&lt;&gt;"", "Done", "Add"), IF(TBL_Q_05_PAS_C1[[#This Row],[Response]]&lt;&gt;"", "Done", "")))</f>
        <v>Add</v>
      </c>
      <c r="K36" s="147" t="s">
        <v>687</v>
      </c>
      <c r="L36" s="10"/>
      <c r="M36" s="10"/>
      <c r="N36" s="10"/>
      <c r="O36" s="10"/>
    </row>
    <row r="37" spans="1:15">
      <c r="A37" s="59"/>
      <c r="B37" s="59"/>
      <c r="C37" s="143" t="s">
        <v>681</v>
      </c>
      <c r="D37" s="140"/>
      <c r="E37" s="222" t="s">
        <v>690</v>
      </c>
      <c r="F37" s="160" t="s">
        <v>715</v>
      </c>
      <c r="G37" s="159" t="s">
        <v>467</v>
      </c>
      <c r="H37" s="162" t="str">
        <f>IF($D$36=$K$38, "Yes", "No")</f>
        <v>No</v>
      </c>
      <c r="I37" s="160" t="str">
        <f>IF(AND(TBL_Q_05_PAS_C1[[#This Row],[Include?]]="Yes", TBL_Q_05_PAS_C1[[#This Row],[Response?]]="Yes"), "", "Shade")</f>
        <v>Shade</v>
      </c>
      <c r="J37" s="160" t="str">
        <f>IF(TBL_Q_05_PAS_C1[[#This Row],[Shade]]="Shade", "", IF(TBL_Q_05_PAS_C1[[#This Row],[Response?]]="Yes", IF(TBL_Q_05_PAS_C1[[#This Row],[Response]]&lt;&gt;"", "Done", "Add"), IF(TBL_Q_05_PAS_C1[[#This Row],[Response]]&lt;&gt;"", "Done", "")))</f>
        <v/>
      </c>
      <c r="K37" s="147" t="s">
        <v>688</v>
      </c>
      <c r="L37" s="10"/>
      <c r="M37" s="10"/>
      <c r="N37" s="10"/>
      <c r="O37" s="10"/>
    </row>
    <row r="38" spans="1:15" ht="27">
      <c r="A38" s="39" t="s">
        <v>599</v>
      </c>
      <c r="B38" s="50" t="s">
        <v>691</v>
      </c>
      <c r="C38" s="53" t="s">
        <v>743</v>
      </c>
      <c r="D38" s="140"/>
      <c r="E38" s="222" t="s">
        <v>599</v>
      </c>
      <c r="F38" s="160" t="s">
        <v>716</v>
      </c>
      <c r="G38" s="159" t="s">
        <v>467</v>
      </c>
      <c r="H38" s="213" t="s">
        <v>467</v>
      </c>
      <c r="I38" s="160" t="str">
        <f>IF(AND(TBL_Q_05_PAS_C1[[#This Row],[Include?]]="Yes", TBL_Q_05_PAS_C1[[#This Row],[Response?]]="Yes"), "", "Shade")</f>
        <v/>
      </c>
      <c r="J38" s="160" t="str">
        <f>IF(TBL_Q_05_PAS_C1[[#This Row],[Shade]]="Shade", "", IF(TBL_Q_05_PAS_C1[[#This Row],[Response?]]="Yes", IF(TBL_Q_05_PAS_C1[[#This Row],[Response]]&lt;&gt;"", "Done", "Add"), IF(TBL_Q_05_PAS_C1[[#This Row],[Response]]&lt;&gt;"", "Done", "")))</f>
        <v>Add</v>
      </c>
      <c r="K38" s="147" t="s">
        <v>689</v>
      </c>
      <c r="L38" s="10"/>
      <c r="M38" s="10"/>
      <c r="N38" s="10"/>
      <c r="O38" s="10"/>
    </row>
    <row r="39" spans="1:15" ht="89.5">
      <c r="A39" s="39" t="s">
        <v>600</v>
      </c>
      <c r="B39" s="152" t="s">
        <v>744</v>
      </c>
      <c r="C39" s="53" t="s">
        <v>745</v>
      </c>
      <c r="D39" s="140"/>
      <c r="E39" s="222" t="s">
        <v>701</v>
      </c>
      <c r="F39" s="160" t="s">
        <v>717</v>
      </c>
      <c r="G39" s="159" t="s">
        <v>320</v>
      </c>
      <c r="H39" s="213" t="s">
        <v>467</v>
      </c>
      <c r="I39" s="160" t="str">
        <f>IF(AND(TBL_Q_05_PAS_C1[[#This Row],[Include?]]="Yes", TBL_Q_05_PAS_C1[[#This Row],[Response?]]="Yes"), "", "Shade")</f>
        <v>Shade</v>
      </c>
      <c r="J39" s="160" t="str">
        <f>IF(TBL_Q_05_PAS_C1[[#This Row],[Shade]]="Shade", "", IF(TBL_Q_05_PAS_C1[[#This Row],[Response?]]="Yes", IF(TBL_Q_05_PAS_C1[[#This Row],[Response]]&lt;&gt;"", "Done", "Add"), IF(TBL_Q_05_PAS_C1[[#This Row],[Response]]&lt;&gt;"", "Done", "")))</f>
        <v/>
      </c>
      <c r="K39" s="147"/>
    </row>
    <row r="40" spans="1:15" ht="37.5">
      <c r="A40" s="60"/>
      <c r="B40" s="60"/>
      <c r="C40" s="143" t="s">
        <v>692</v>
      </c>
      <c r="D40" s="51"/>
      <c r="E40" s="222" t="s">
        <v>702</v>
      </c>
      <c r="F40" s="160" t="s">
        <v>718</v>
      </c>
      <c r="G40" s="159" t="s">
        <v>467</v>
      </c>
      <c r="H40" s="162">
        <f>$D$39</f>
        <v>0</v>
      </c>
      <c r="I40" s="160" t="str">
        <f>IF(AND(TBL_Q_05_PAS_C1[[#This Row],[Include?]]="Yes", TBL_Q_05_PAS_C1[[#This Row],[Response?]]="Yes"), "", "Shade")</f>
        <v>Shade</v>
      </c>
      <c r="J40" s="160" t="str">
        <f>IF(TBL_Q_05_PAS_C1[[#This Row],[Shade]]="Shade", "", IF(TBL_Q_05_PAS_C1[[#This Row],[Response?]]="Yes", IF(TBL_Q_05_PAS_C1[[#This Row],[Response]]&lt;&gt;"", "Done", "Add"), IF(TBL_Q_05_PAS_C1[[#This Row],[Response]]&lt;&gt;"", "Done", "")))</f>
        <v/>
      </c>
      <c r="K40" s="147"/>
    </row>
    <row r="41" spans="1:15" ht="37.5">
      <c r="A41" s="59"/>
      <c r="B41" s="59"/>
      <c r="C41" s="143" t="s">
        <v>693</v>
      </c>
      <c r="D41" s="140"/>
      <c r="E41" s="222" t="s">
        <v>703</v>
      </c>
      <c r="F41" s="160" t="s">
        <v>719</v>
      </c>
      <c r="G41" s="159" t="s">
        <v>467</v>
      </c>
      <c r="H41" s="162">
        <f>$D$39</f>
        <v>0</v>
      </c>
      <c r="I41" s="160" t="str">
        <f>IF(AND(TBL_Q_05_PAS_C1[[#This Row],[Include?]]="Yes", TBL_Q_05_PAS_C1[[#This Row],[Response?]]="Yes"), "", "Shade")</f>
        <v>Shade</v>
      </c>
      <c r="J41" s="160" t="str">
        <f>IF(TBL_Q_05_PAS_C1[[#This Row],[Shade]]="Shade", "", IF(TBL_Q_05_PAS_C1[[#This Row],[Response?]]="Yes", IF(TBL_Q_05_PAS_C1[[#This Row],[Response]]&lt;&gt;"", "Done", "Add"), IF(TBL_Q_05_PAS_C1[[#This Row],[Response]]&lt;&gt;"", "Done", "")))</f>
        <v/>
      </c>
      <c r="K41" s="147"/>
    </row>
    <row r="42" spans="1:15" ht="87.5">
      <c r="A42" s="39" t="s">
        <v>601</v>
      </c>
      <c r="B42" s="39" t="s">
        <v>694</v>
      </c>
      <c r="C42" s="219" t="s">
        <v>1783</v>
      </c>
      <c r="D42" s="140"/>
      <c r="E42" s="222" t="s">
        <v>704</v>
      </c>
      <c r="F42" s="160" t="s">
        <v>720</v>
      </c>
      <c r="G42" s="159" t="s">
        <v>467</v>
      </c>
      <c r="H42" s="213" t="s">
        <v>467</v>
      </c>
      <c r="I42" s="160" t="str">
        <f>IF(AND(TBL_Q_05_PAS_C1[[#This Row],[Include?]]="Yes", TBL_Q_05_PAS_C1[[#This Row],[Response?]]="Yes"), "", "Shade")</f>
        <v/>
      </c>
      <c r="J42" s="160" t="str">
        <f>IF(TBL_Q_05_PAS_C1[[#This Row],[Shade]]="Shade", "", IF(TBL_Q_05_PAS_C1[[#This Row],[Response?]]="Yes", IF(TBL_Q_05_PAS_C1[[#This Row],[Response]]&lt;&gt;"", "Done", "Add"), IF(TBL_Q_05_PAS_C1[[#This Row],[Response]]&lt;&gt;"", "Done", "")))</f>
        <v>Add</v>
      </c>
      <c r="K42" s="147"/>
    </row>
    <row r="43" spans="1:15" ht="37.5">
      <c r="A43" s="60"/>
      <c r="B43" s="60"/>
      <c r="C43" s="143" t="s">
        <v>695</v>
      </c>
      <c r="D43" s="140"/>
      <c r="E43" s="222" t="s">
        <v>705</v>
      </c>
      <c r="F43" s="160" t="s">
        <v>721</v>
      </c>
      <c r="G43" s="159" t="s">
        <v>467</v>
      </c>
      <c r="H43" s="162">
        <f>$D$42</f>
        <v>0</v>
      </c>
      <c r="I43" s="160" t="str">
        <f>IF(AND(TBL_Q_05_PAS_C1[[#This Row],[Include?]]="Yes", TBL_Q_05_PAS_C1[[#This Row],[Response?]]="Yes"), "", "Shade")</f>
        <v>Shade</v>
      </c>
      <c r="J43" s="160" t="str">
        <f>IF(TBL_Q_05_PAS_C1[[#This Row],[Shade]]="Shade", "", IF(TBL_Q_05_PAS_C1[[#This Row],[Response?]]="Yes", IF(TBL_Q_05_PAS_C1[[#This Row],[Response]]&lt;&gt;"", "Done", "Add"), IF(TBL_Q_05_PAS_C1[[#This Row],[Response]]&lt;&gt;"", "Done", "")))</f>
        <v/>
      </c>
      <c r="K43" s="147"/>
    </row>
    <row r="44" spans="1:15" ht="75">
      <c r="A44" s="60"/>
      <c r="B44" s="60"/>
      <c r="C44" s="143" t="s">
        <v>696</v>
      </c>
      <c r="D44" s="140"/>
      <c r="E44" s="222" t="s">
        <v>706</v>
      </c>
      <c r="F44" s="160" t="s">
        <v>722</v>
      </c>
      <c r="G44" s="159" t="s">
        <v>467</v>
      </c>
      <c r="H44" s="162">
        <f t="shared" ref="H44:H46" si="0">$D$42</f>
        <v>0</v>
      </c>
      <c r="I44" s="160" t="str">
        <f>IF(AND(TBL_Q_05_PAS_C1[[#This Row],[Include?]]="Yes", TBL_Q_05_PAS_C1[[#This Row],[Response?]]="Yes"), "", "Shade")</f>
        <v>Shade</v>
      </c>
      <c r="J44" s="160" t="str">
        <f>IF(TBL_Q_05_PAS_C1[[#This Row],[Shade]]="Shade", "", IF(TBL_Q_05_PAS_C1[[#This Row],[Response?]]="Yes", IF(TBL_Q_05_PAS_C1[[#This Row],[Response]]&lt;&gt;"", "Done", "Add"), IF(TBL_Q_05_PAS_C1[[#This Row],[Response]]&lt;&gt;"", "Done", "")))</f>
        <v/>
      </c>
      <c r="K44" s="147"/>
    </row>
    <row r="45" spans="1:15" ht="52">
      <c r="A45" s="60"/>
      <c r="B45" s="60"/>
      <c r="C45" s="53" t="s">
        <v>746</v>
      </c>
      <c r="D45" s="140"/>
      <c r="E45" s="222" t="s">
        <v>707</v>
      </c>
      <c r="F45" s="160" t="s">
        <v>723</v>
      </c>
      <c r="G45" s="159" t="s">
        <v>467</v>
      </c>
      <c r="H45" s="162">
        <f t="shared" si="0"/>
        <v>0</v>
      </c>
      <c r="I45" s="160" t="str">
        <f>IF(AND(TBL_Q_05_PAS_C1[[#This Row],[Include?]]="Yes", TBL_Q_05_PAS_C1[[#This Row],[Response?]]="Yes"), "", "Shade")</f>
        <v>Shade</v>
      </c>
      <c r="J45" s="160" t="str">
        <f>IF(TBL_Q_05_PAS_C1[[#This Row],[Shade]]="Shade", "", IF(TBL_Q_05_PAS_C1[[#This Row],[Response?]]="Yes", IF(TBL_Q_05_PAS_C1[[#This Row],[Response]]&lt;&gt;"", "Done", "Add"), IF(TBL_Q_05_PAS_C1[[#This Row],[Response]]&lt;&gt;"", "Done", "")))</f>
        <v/>
      </c>
      <c r="K45" s="147"/>
    </row>
    <row r="46" spans="1:15" ht="50">
      <c r="A46" s="60"/>
      <c r="B46" s="60"/>
      <c r="C46" s="219" t="s">
        <v>1329</v>
      </c>
      <c r="D46" s="140"/>
      <c r="E46" s="222" t="s">
        <v>708</v>
      </c>
      <c r="F46" s="160" t="s">
        <v>724</v>
      </c>
      <c r="G46" s="159" t="s">
        <v>467</v>
      </c>
      <c r="H46" s="162">
        <f t="shared" si="0"/>
        <v>0</v>
      </c>
      <c r="I46" s="160" t="str">
        <f>IF(AND(TBL_Q_05_PAS_C1[[#This Row],[Include?]]="Yes", TBL_Q_05_PAS_C1[[#This Row],[Response?]]="Yes"), "", "Shade")</f>
        <v>Shade</v>
      </c>
      <c r="J46" s="160" t="str">
        <f>IF(TBL_Q_05_PAS_C1[[#This Row],[Shade]]="Shade", "", IF(TBL_Q_05_PAS_C1[[#This Row],[Response?]]="Yes", IF(TBL_Q_05_PAS_C1[[#This Row],[Response]]&lt;&gt;"", "Done", "Add"), IF(TBL_Q_05_PAS_C1[[#This Row],[Response]]&lt;&gt;"", "Done", "")))</f>
        <v/>
      </c>
      <c r="K46" s="147"/>
    </row>
    <row r="47" spans="1:15" ht="200">
      <c r="A47" s="59"/>
      <c r="B47" s="59"/>
      <c r="C47" s="291" t="s">
        <v>697</v>
      </c>
      <c r="D47" s="140"/>
      <c r="E47" s="222" t="s">
        <v>709</v>
      </c>
      <c r="F47" s="160" t="s">
        <v>725</v>
      </c>
      <c r="G47" s="159" t="s">
        <v>467</v>
      </c>
      <c r="H47" s="162">
        <f>$D$42</f>
        <v>0</v>
      </c>
      <c r="I47" s="160" t="str">
        <f>IF(AND(TBL_Q_05_PAS_C1[[#This Row],[Include?]]="Yes", TBL_Q_05_PAS_C1[[#This Row],[Response?]]="Yes"), "", "Shade")</f>
        <v>Shade</v>
      </c>
      <c r="J47" s="160" t="str">
        <f>IF(TBL_Q_05_PAS_C1[[#This Row],[Shade]]="Shade", "", IF(TBL_Q_05_PAS_C1[[#This Row],[Response?]]="Yes", IF(TBL_Q_05_PAS_C1[[#This Row],[Response]]&lt;&gt;"", "Done", "Add"), IF(TBL_Q_05_PAS_C1[[#This Row],[Response]]&lt;&gt;"", "Done", "")))</f>
        <v/>
      </c>
      <c r="K47" s="147"/>
    </row>
    <row r="48" spans="1:15" ht="89.5">
      <c r="A48" s="39" t="s">
        <v>602</v>
      </c>
      <c r="B48" s="39" t="s">
        <v>698</v>
      </c>
      <c r="C48" s="53" t="s">
        <v>747</v>
      </c>
      <c r="D48" s="140"/>
      <c r="E48" s="222" t="s">
        <v>710</v>
      </c>
      <c r="F48" s="160" t="s">
        <v>726</v>
      </c>
      <c r="G48" s="159" t="s">
        <v>467</v>
      </c>
      <c r="H48" s="213" t="s">
        <v>467</v>
      </c>
      <c r="I48" s="160" t="str">
        <f>IF(AND(TBL_Q_05_PAS_C1[[#This Row],[Include?]]="Yes", TBL_Q_05_PAS_C1[[#This Row],[Response?]]="Yes"), "", "Shade")</f>
        <v/>
      </c>
      <c r="J48" s="160" t="str">
        <f>IF(TBL_Q_05_PAS_C1[[#This Row],[Shade]]="Shade", "", IF(TBL_Q_05_PAS_C1[[#This Row],[Response?]]="Yes", IF(TBL_Q_05_PAS_C1[[#This Row],[Response]]&lt;&gt;"", "Done", "Add"), IF(TBL_Q_05_PAS_C1[[#This Row],[Response]]&lt;&gt;"", "Done", "")))</f>
        <v>Add</v>
      </c>
      <c r="K48" s="147"/>
    </row>
    <row r="49" spans="1:11" ht="54">
      <c r="A49" s="60"/>
      <c r="B49" s="60"/>
      <c r="C49" s="53" t="s">
        <v>748</v>
      </c>
      <c r="D49" s="140"/>
      <c r="E49" s="222" t="s">
        <v>711</v>
      </c>
      <c r="F49" s="160" t="s">
        <v>727</v>
      </c>
      <c r="G49" s="159" t="s">
        <v>467</v>
      </c>
      <c r="H49" s="160">
        <f>$D$48</f>
        <v>0</v>
      </c>
      <c r="I49" s="160" t="str">
        <f>IF(AND(TBL_Q_05_PAS_C1[[#This Row],[Include?]]="Yes", TBL_Q_05_PAS_C1[[#This Row],[Response?]]="Yes"), "", "Shade")</f>
        <v>Shade</v>
      </c>
      <c r="J49" s="160" t="str">
        <f>IF(TBL_Q_05_PAS_C1[[#This Row],[Shade]]="Shade", "", IF(TBL_Q_05_PAS_C1[[#This Row],[Response?]]="Yes", IF(TBL_Q_05_PAS_C1[[#This Row],[Response]]&lt;&gt;"", "Done", "Add"), IF(TBL_Q_05_PAS_C1[[#This Row],[Response]]&lt;&gt;"", "Done", "")))</f>
        <v/>
      </c>
      <c r="K49" s="147"/>
    </row>
    <row r="50" spans="1:11" ht="50">
      <c r="A50" s="60"/>
      <c r="B50" s="60"/>
      <c r="C50" s="143" t="s">
        <v>699</v>
      </c>
      <c r="D50" s="140"/>
      <c r="E50" s="222" t="s">
        <v>712</v>
      </c>
      <c r="F50" s="160" t="s">
        <v>728</v>
      </c>
      <c r="G50" s="159" t="s">
        <v>467</v>
      </c>
      <c r="H50" s="160">
        <f>$D$48</f>
        <v>0</v>
      </c>
      <c r="I50" s="160" t="str">
        <f>IF(AND(TBL_Q_05_PAS_C1[[#This Row],[Include?]]="Yes", TBL_Q_05_PAS_C1[[#This Row],[Response?]]="Yes"), "", "Shade")</f>
        <v>Shade</v>
      </c>
      <c r="J50" s="160" t="str">
        <f>IF(TBL_Q_05_PAS_C1[[#This Row],[Shade]]="Shade", "", IF(TBL_Q_05_PAS_C1[[#This Row],[Response?]]="Yes", IF(TBL_Q_05_PAS_C1[[#This Row],[Response]]&lt;&gt;"", "Done", "Add"), IF(TBL_Q_05_PAS_C1[[#This Row],[Response]]&lt;&gt;"", "Done", "")))</f>
        <v/>
      </c>
      <c r="K50" s="147"/>
    </row>
    <row r="51" spans="1:11" ht="25">
      <c r="A51" s="59"/>
      <c r="B51" s="59"/>
      <c r="C51" s="143" t="s">
        <v>700</v>
      </c>
      <c r="D51" s="140"/>
      <c r="E51" s="222" t="s">
        <v>713</v>
      </c>
      <c r="F51" s="160" t="s">
        <v>729</v>
      </c>
      <c r="G51" s="159" t="s">
        <v>467</v>
      </c>
      <c r="H51" s="160">
        <f>$D$48</f>
        <v>0</v>
      </c>
      <c r="I51" s="160" t="str">
        <f>IF(AND(TBL_Q_05_PAS_C1[[#This Row],[Include?]]="Yes", TBL_Q_05_PAS_C1[[#This Row],[Response?]]="Yes"), "", "Shade")</f>
        <v>Shade</v>
      </c>
      <c r="J51" s="160" t="str">
        <f>IF(TBL_Q_05_PAS_C1[[#This Row],[Shade]]="Shade", "", IF(TBL_Q_05_PAS_C1[[#This Row],[Response?]]="Yes", IF(TBL_Q_05_PAS_C1[[#This Row],[Response]]&lt;&gt;"", "Done", "Add"), IF(TBL_Q_05_PAS_C1[[#This Row],[Response]]&lt;&gt;"", "Done", "")))</f>
        <v/>
      </c>
      <c r="K51" s="147"/>
    </row>
    <row r="52" spans="1:11">
      <c r="A52" s="39" t="s">
        <v>603</v>
      </c>
      <c r="B52" s="39" t="s">
        <v>13</v>
      </c>
      <c r="C52" s="221" t="str">
        <f>IF(AND(REF_Lotted="Yes", REF_Doc_Lot="All"), "Where applicable, please indicate the lot(s) for which you wish to tender", "Question not used")</f>
        <v>Question not used</v>
      </c>
      <c r="D52" s="223"/>
      <c r="E52" s="222" t="s">
        <v>24</v>
      </c>
      <c r="F52" s="160" t="s">
        <v>730</v>
      </c>
      <c r="G52" s="163" t="str">
        <f>REF_Lotted</f>
        <v>No</v>
      </c>
      <c r="H52" s="160" t="str">
        <f>TBL_Q_05_PAS_C1[[#This Row],[Include?]]</f>
        <v>No</v>
      </c>
      <c r="I52" s="160" t="str">
        <f>IF(AND(TBL_Q_05_PAS_C1[[#This Row],[Include?]]="Yes", TBL_Q_05_PAS_C1[[#This Row],[Response?]]="Yes"), "", "Shade")</f>
        <v>Shade</v>
      </c>
      <c r="J52" s="162"/>
      <c r="K52" s="147"/>
    </row>
    <row r="54" spans="1:11" s="37" customFormat="1" ht="12.5">
      <c r="A54" s="151" t="s">
        <v>731</v>
      </c>
      <c r="C54" s="58"/>
      <c r="K54" s="150"/>
    </row>
    <row r="55" spans="1:11" s="37" customFormat="1" ht="12.5">
      <c r="C55" s="58"/>
      <c r="K55" s="150"/>
    </row>
    <row r="56" spans="1:11" s="37" customFormat="1" ht="14.75" customHeight="1">
      <c r="A56" s="37">
        <v>1</v>
      </c>
      <c r="B56" s="696" t="s">
        <v>147</v>
      </c>
      <c r="C56" s="696"/>
      <c r="D56" s="696"/>
      <c r="K56" s="150"/>
    </row>
    <row r="57" spans="1:11" s="37" customFormat="1" ht="21.5" customHeight="1">
      <c r="B57" s="697" t="s">
        <v>1350</v>
      </c>
      <c r="C57" s="697"/>
      <c r="D57" s="697"/>
      <c r="K57" s="150"/>
    </row>
    <row r="58" spans="1:11" s="37" customFormat="1" ht="21.5" customHeight="1">
      <c r="A58" s="37">
        <v>2</v>
      </c>
      <c r="B58" s="37" t="s">
        <v>732</v>
      </c>
      <c r="C58" s="58"/>
      <c r="K58" s="150"/>
    </row>
    <row r="59" spans="1:11" s="37" customFormat="1" ht="21.5" customHeight="1">
      <c r="A59" s="37">
        <v>3</v>
      </c>
      <c r="B59" s="37" t="s">
        <v>733</v>
      </c>
      <c r="C59" s="58"/>
      <c r="K59" s="150"/>
    </row>
    <row r="60" spans="1:11" s="37" customFormat="1" ht="21.5" customHeight="1">
      <c r="A60" s="37">
        <v>4</v>
      </c>
      <c r="B60" s="37" t="s">
        <v>734</v>
      </c>
      <c r="C60" s="58"/>
      <c r="K60" s="150"/>
    </row>
    <row r="61" spans="1:11" s="37" customFormat="1" ht="21.5" customHeight="1">
      <c r="A61" s="37">
        <v>5</v>
      </c>
      <c r="B61" s="696" t="s">
        <v>735</v>
      </c>
      <c r="C61" s="696"/>
      <c r="D61" s="696"/>
      <c r="K61" s="150"/>
    </row>
    <row r="62" spans="1:11" s="37" customFormat="1" ht="29" customHeight="1">
      <c r="A62" s="37">
        <v>6</v>
      </c>
      <c r="B62" s="696" t="s">
        <v>736</v>
      </c>
      <c r="C62" s="696"/>
      <c r="D62" s="696"/>
      <c r="K62" s="150"/>
    </row>
    <row r="63" spans="1:11" s="37" customFormat="1" ht="16.25" customHeight="1">
      <c r="B63" s="694" t="s">
        <v>737</v>
      </c>
      <c r="C63" s="694"/>
      <c r="D63" s="694"/>
      <c r="K63" s="150"/>
    </row>
    <row r="64" spans="1:11" s="37" customFormat="1" ht="16.25" customHeight="1">
      <c r="B64" s="694" t="s">
        <v>738</v>
      </c>
      <c r="C64" s="695"/>
      <c r="D64" s="695"/>
      <c r="K64" s="150"/>
    </row>
    <row r="65" spans="1:11" s="37" customFormat="1" ht="29.75" customHeight="1">
      <c r="B65" s="694" t="s">
        <v>739</v>
      </c>
      <c r="C65" s="695"/>
      <c r="D65" s="695"/>
      <c r="K65" s="150"/>
    </row>
    <row r="66" spans="1:11" s="37" customFormat="1" ht="34.5" customHeight="1">
      <c r="B66" s="694" t="s">
        <v>740</v>
      </c>
      <c r="C66" s="695"/>
      <c r="D66" s="695"/>
      <c r="K66" s="150"/>
    </row>
    <row r="67" spans="1:11" s="37" customFormat="1" ht="34.5" customHeight="1">
      <c r="A67" s="37">
        <v>7</v>
      </c>
      <c r="B67" s="696" t="s">
        <v>741</v>
      </c>
      <c r="C67" s="676"/>
      <c r="D67" s="676"/>
      <c r="K67" s="150"/>
    </row>
    <row r="68" spans="1:11" s="37" customFormat="1" ht="49.25" customHeight="1">
      <c r="A68" s="37">
        <v>8</v>
      </c>
      <c r="B68" s="696" t="s">
        <v>742</v>
      </c>
      <c r="C68" s="696"/>
      <c r="D68" s="696"/>
      <c r="K68" s="150"/>
    </row>
    <row r="69" spans="1:11" s="37" customFormat="1" ht="12.5">
      <c r="C69" s="58"/>
      <c r="K69" s="150"/>
    </row>
    <row r="70" spans="1:11" s="37" customFormat="1" ht="12.5">
      <c r="C70" s="58"/>
      <c r="K70" s="150"/>
    </row>
    <row r="71" spans="1:11" s="37" customFormat="1" ht="12.5">
      <c r="C71" s="58"/>
      <c r="K71" s="150"/>
    </row>
    <row r="72" spans="1:11" s="37" customFormat="1" ht="12.5">
      <c r="C72" s="58"/>
      <c r="K72" s="150"/>
    </row>
    <row r="73" spans="1:11" s="37" customFormat="1" ht="12.5">
      <c r="C73" s="58"/>
      <c r="K73" s="150"/>
    </row>
    <row r="74" spans="1:11" s="37" customFormat="1" ht="12.5">
      <c r="C74" s="58"/>
      <c r="K74" s="150"/>
    </row>
    <row r="75" spans="1:11" s="37" customFormat="1" ht="12.5">
      <c r="C75" s="58"/>
      <c r="K75" s="150"/>
    </row>
    <row r="76" spans="1:11" s="149" customFormat="1">
      <c r="C76" s="44"/>
      <c r="K76" s="165"/>
    </row>
  </sheetData>
  <sheetProtection algorithmName="SHA-512" hashValue="YDVg2UOyate0YBZ/tjRONnOwi9tGZAX9krA9aUxMa8VRDJXd8hcI5RY5hBQl+PFVSVq/q+dW88olDpy15sPO/Q==" saltValue="ZKsVSJJay2X7L/VRTgfAVQ==" spinCount="100000" sheet="1" objects="1" scenarios="1"/>
  <protectedRanges>
    <protectedRange sqref="D9:D51" name="Responses"/>
  </protectedRanges>
  <dataConsolidate link="1"/>
  <mergeCells count="10">
    <mergeCell ref="B65:D65"/>
    <mergeCell ref="B66:D66"/>
    <mergeCell ref="B68:D68"/>
    <mergeCell ref="B67:D67"/>
    <mergeCell ref="B56:D56"/>
    <mergeCell ref="B61:D61"/>
    <mergeCell ref="B62:D62"/>
    <mergeCell ref="B63:D63"/>
    <mergeCell ref="B64:D64"/>
    <mergeCell ref="B57:D57"/>
  </mergeCells>
  <conditionalFormatting sqref="C9:D52">
    <cfRule type="expression" dxfId="123" priority="1">
      <formula>INDIRECT("I"&amp;ROW())="Shade"</formula>
    </cfRule>
  </conditionalFormatting>
  <conditionalFormatting sqref="D9:D52">
    <cfRule type="expression" dxfId="122" priority="2">
      <formula>INDIRECT("J"&amp;ROW())="Done"</formula>
    </cfRule>
    <cfRule type="expression" dxfId="121" priority="3">
      <formula>INDIRECT("J"&amp;ROW())="Add"</formula>
    </cfRule>
  </conditionalFormatting>
  <dataValidations count="4">
    <dataValidation type="list" allowBlank="1" showInputMessage="1" showErrorMessage="1" sqref="D36" xr:uid="{F37BA559-21C6-41F5-ACA8-E539965B0FFF}">
      <formula1>$K$32:$K$38</formula1>
    </dataValidation>
    <dataValidation type="list" allowBlank="1" showInputMessage="1" showErrorMessage="1" sqref="D38:F39 D48 D46" xr:uid="{57707BAC-2A84-45A1-B714-7F292CF41381}">
      <formula1>"Yes, No"</formula1>
    </dataValidation>
    <dataValidation type="decimal" operator="greaterThan" allowBlank="1" showInputMessage="1" showErrorMessage="1" sqref="D40:F40" xr:uid="{E6143658-82A6-4DB1-A1C9-5DBA25023ECD}">
      <formula1>0</formula1>
    </dataValidation>
    <dataValidation type="list" allowBlank="1" showInputMessage="1" showErrorMessage="1" sqref="D42" xr:uid="{53146A9B-60F5-4EC1-B4B1-1154BB6A0F5C}">
      <formula1>"Yes, No, N/A"</formula1>
    </dataValidation>
  </dataValidations>
  <hyperlinks>
    <hyperlink ref="C38" location="'Part_1_Core 1'!A61" display="Are you a micro, a small, or a medium-sized enterprise1?" xr:uid="{AF83924A-171A-4E57-BA23-B0ECB98C3F48}"/>
    <hyperlink ref="B39" location="'Part_1_Core 1'!A62" display="'Part_1_Core 1'!A62" xr:uid="{96F219D0-78D3-43D1-8CE1-C3A2A7191E24}"/>
    <hyperlink ref="C39" location="'Part_1_Core 1'!A63" display="'Part_1_Core 1'!A63" xr:uid="{464D4DEF-D869-4267-9D15-510D0C719F6B}"/>
    <hyperlink ref="C45" location="'Part_1_Core 1'!A64" display="C1-Q12-4 Please state the references on which the registration or certification is based, and, where applicable, the classification obtained in the official list4" xr:uid="{5EE82290-B796-4A56-B125-AB1737FAF3B7}"/>
    <hyperlink ref="C48" location="'Part_1_Core 1'!A65" display="'Part_1_Core 1'!A65" xr:uid="{9AF7F6DA-147E-4206-9F6E-DA6C010AF006}"/>
    <hyperlink ref="C49" location="'Part_1_Core 1'!A66" display="C1-Q13-2 Please indicate your organization’s role6 i.e. sole supplier/lead entity, group member, other entity (relied upon)7, other entity (not relied upon)" xr:uid="{7F06CA46-345E-4AD9-B6A3-0E5D01D19573}"/>
    <hyperlink ref="B57" r:id="rId1" xr:uid="{51C37007-FC27-4E10-85D2-66AEAC85C3EB}"/>
  </hyperlinks>
  <pageMargins left="0.59055118110236227" right="0.59055118110236227" top="0.39370078740157483" bottom="0.78740157480314965" header="0" footer="0.39370078740157483"/>
  <pageSetup paperSize="9" orientation="landscape" r:id="rId2"/>
  <headerFooter>
    <oddFooter>&amp;C&amp;"Arial,Regular"&amp;10&amp;K00-049&amp;P</oddFooter>
  </headerFooter>
  <rowBreaks count="2" manualBreakCount="2">
    <brk id="41" max="3" man="1"/>
    <brk id="51" max="3" man="1"/>
  </rowBreaks>
  <tableParts count="1">
    <tablePart r:id="rId3"/>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4DFD9-34D4-445D-B48F-A88554C304B5}">
  <sheetPr codeName="Sheet48">
    <tabColor rgb="FFFF0000"/>
  </sheetPr>
  <dimension ref="A1:R35"/>
  <sheetViews>
    <sheetView showGridLines="0" topLeftCell="O1" zoomScaleNormal="100" workbookViewId="0">
      <selection activeCell="N1" sqref="A1:N1048576"/>
    </sheetView>
  </sheetViews>
  <sheetFormatPr defaultColWidth="9" defaultRowHeight="14"/>
  <cols>
    <col min="1" max="1" width="9.36328125" style="52" hidden="1" customWidth="1"/>
    <col min="2" max="2" width="28.08984375" style="52" hidden="1" customWidth="1"/>
    <col min="3" max="3" width="37.6328125" style="45" hidden="1" customWidth="1"/>
    <col min="4" max="4" width="26.6328125" style="3" hidden="1" customWidth="1"/>
    <col min="5" max="5" width="25.90625" style="3" hidden="1" customWidth="1"/>
    <col min="6" max="6" width="10.90625" style="3" hidden="1" customWidth="1"/>
    <col min="7" max="7" width="8.6328125" style="3" hidden="1" customWidth="1"/>
    <col min="8" max="8" width="9.6328125" style="3" hidden="1" customWidth="1"/>
    <col min="9" max="9" width="12.6328125" style="3" hidden="1" customWidth="1"/>
    <col min="10" max="10" width="8.08984375" style="3" hidden="1" customWidth="1"/>
    <col min="11" max="12" width="7.6328125" style="3" hidden="1" customWidth="1"/>
    <col min="13" max="13" width="9.6328125" style="36" hidden="1" customWidth="1"/>
    <col min="14" max="14" width="19.6328125" style="3" hidden="1" customWidth="1"/>
    <col min="15" max="18" width="9.08984375" style="3" customWidth="1"/>
    <col min="19" max="16384" width="9" style="3"/>
  </cols>
  <sheetData>
    <row r="1" spans="1:18" s="94"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46"/>
      <c r="M1" s="352" t="str">
        <f>IF(REF_Alternative="Yes", IF(REF_Alternative_Response="Yes", "N/A", IF(SUM(COUNTIF(TBL_Q_05_PAS_C2_A[Check_1], "Add"), COUNTIF(TBL_Q_05_PAS_C2_A[Check_2], "Add"), COUNTIF(TBL_Q_05_PAS_C2_B[Check], "Add"))&gt;0, "Incomplete", "Complete")), IF(SUM(COUNTIF(TBL_Q_05_PAS_C2_A[Check_1], "Add"), COUNTIF(TBL_Q_05_PAS_C2_A[Check_2], "Add"), COUNTIF(TBL_Q_05_PAS_C2_B[Check], "Add"))&gt;0, "Incomplete", "Complete"))</f>
        <v>Incomplete</v>
      </c>
    </row>
    <row r="2" spans="1:18" s="94" customFormat="1" ht="12.5" customHeight="1">
      <c r="A2" s="54" t="str">
        <f t="array" ref="A2">CONCATENATE(INDEX(TBL_DATA_00_Doc_Merge[Supplier_Type], MATCH(1, (REF_Doc_Lot=TBL_DATA_00_Doc_Merge[Lot])*(REF_Job_No=TBL_DATA_00_Doc_Merge[Job_No]),0)), ":")</f>
        <v>Supplier:</v>
      </c>
      <c r="B2" s="54" t="str">
        <f>Response!$A$2</f>
        <v>Purdy Contracts Ltd</v>
      </c>
      <c r="C2" s="346"/>
      <c r="M2" s="351"/>
    </row>
    <row r="3" spans="1:18" s="94" customFormat="1" ht="12.5" customHeight="1">
      <c r="A3" s="345"/>
      <c r="B3" s="345"/>
      <c r="C3" s="346"/>
      <c r="M3" s="351"/>
    </row>
    <row r="4" spans="1:18" ht="17.5">
      <c r="A4" s="88" t="s">
        <v>143</v>
      </c>
      <c r="B4" s="88" t="s">
        <v>1302</v>
      </c>
    </row>
    <row r="6" spans="1:18" s="56" customFormat="1" ht="15.5">
      <c r="A6" s="279" t="s">
        <v>1300</v>
      </c>
      <c r="B6" s="279" t="str">
        <f>IF(REF_Alternative="Yes", IF(REF_Alternative_Response="Yes", "Section not applicable", "Financial information"), "Financial information")</f>
        <v>Financial information</v>
      </c>
      <c r="D6" s="57"/>
      <c r="E6" s="57"/>
      <c r="F6" s="57"/>
      <c r="M6" s="55"/>
    </row>
    <row r="7" spans="1:18">
      <c r="A7" s="31"/>
      <c r="B7" s="31"/>
      <c r="C7" s="46"/>
      <c r="D7" s="10"/>
      <c r="E7" s="10"/>
      <c r="F7" s="10"/>
      <c r="G7" s="10"/>
      <c r="H7" s="10"/>
      <c r="I7" s="10"/>
      <c r="J7" s="10"/>
      <c r="K7" s="10"/>
      <c r="L7" s="10"/>
      <c r="M7" s="20"/>
      <c r="N7" s="10"/>
      <c r="O7" s="10"/>
      <c r="P7" s="10"/>
      <c r="Q7" s="10"/>
      <c r="R7" s="10"/>
    </row>
    <row r="8" spans="1:18" ht="26">
      <c r="A8" s="153" t="s">
        <v>585</v>
      </c>
      <c r="B8" s="115" t="s">
        <v>586</v>
      </c>
      <c r="C8" s="115" t="s">
        <v>587</v>
      </c>
      <c r="D8" s="115" t="s">
        <v>19</v>
      </c>
      <c r="E8" s="63" t="s">
        <v>1331</v>
      </c>
      <c r="F8" s="156" t="s">
        <v>714</v>
      </c>
      <c r="G8" s="156" t="s">
        <v>90</v>
      </c>
      <c r="H8" s="115" t="s">
        <v>324</v>
      </c>
      <c r="I8" s="115" t="s">
        <v>1351</v>
      </c>
      <c r="J8" s="156" t="s">
        <v>88</v>
      </c>
      <c r="K8" s="156" t="s">
        <v>1348</v>
      </c>
      <c r="L8" s="156" t="s">
        <v>1349</v>
      </c>
      <c r="M8" s="147"/>
      <c r="N8" s="10"/>
      <c r="O8" s="10"/>
      <c r="P8" s="10"/>
      <c r="Q8" s="10"/>
    </row>
    <row r="9" spans="1:18">
      <c r="A9" s="39" t="s">
        <v>749</v>
      </c>
      <c r="B9" s="228" t="s">
        <v>1337</v>
      </c>
      <c r="C9" s="229"/>
      <c r="D9" s="220"/>
      <c r="E9" s="223"/>
      <c r="F9" s="230" t="s">
        <v>749</v>
      </c>
      <c r="G9" s="143" t="s">
        <v>1335</v>
      </c>
      <c r="H9" s="231"/>
      <c r="I9" s="232"/>
      <c r="J9" s="232"/>
      <c r="K9" s="232"/>
      <c r="L9" s="246"/>
      <c r="M9" s="147"/>
      <c r="N9" s="10"/>
      <c r="O9" s="10"/>
      <c r="P9" s="10"/>
      <c r="Q9" s="10"/>
    </row>
    <row r="10" spans="1:18" ht="50">
      <c r="A10" s="60"/>
      <c r="B10" s="59" t="s">
        <v>770</v>
      </c>
      <c r="C10" s="226" t="s">
        <v>1330</v>
      </c>
      <c r="D10" s="227"/>
      <c r="E10" s="227"/>
      <c r="F10" s="154" t="s">
        <v>778</v>
      </c>
      <c r="G10" s="143" t="s">
        <v>750</v>
      </c>
      <c r="H10" s="140" t="s">
        <v>467</v>
      </c>
      <c r="I10" s="219" t="s">
        <v>467</v>
      </c>
      <c r="J10" s="143" t="str">
        <f>IF(TBL_Q_05_PAS_C2_A[[#This Row],[Response]]="Enclosed", "", IF(COUNTIF(TBL_Q_05_PAS_C2_A[Response], "Enclosed")&gt;0, "Shade", ""))</f>
        <v/>
      </c>
      <c r="K10" s="143" t="str">
        <f>IF(TBL_Q_05_PAS_C2_A[[#This Row],[Response]]&lt;&gt;"", "Done", IF(COUNTIF(TBL_Q_05_PAS_C2_A[Response], "Enclosed")&gt;0, "", "Add"))</f>
        <v>Add</v>
      </c>
      <c r="L10" s="244" t="str">
        <f>IF(TBL_Q_05_PAS_C2_A[[#This Row],[Response]]="Enclosed", IF(TBL_Q_05_PAS_C2_A[[#This Row],[Supplier’s unique reference to supporting information]]&lt;&gt;"", "Done", "Add"), "Shade")</f>
        <v>Shade</v>
      </c>
      <c r="M10" s="147"/>
      <c r="N10" s="46"/>
      <c r="O10" s="46"/>
      <c r="P10" s="46"/>
      <c r="Q10" s="46"/>
    </row>
    <row r="11" spans="1:18" ht="137.5">
      <c r="A11" s="60"/>
      <c r="B11" s="50" t="s">
        <v>771</v>
      </c>
      <c r="C11" s="143" t="s">
        <v>769</v>
      </c>
      <c r="D11" s="140"/>
      <c r="E11" s="140"/>
      <c r="F11" s="154" t="s">
        <v>779</v>
      </c>
      <c r="G11" s="143" t="s">
        <v>752</v>
      </c>
      <c r="H11" s="140" t="s">
        <v>467</v>
      </c>
      <c r="I11" s="219" t="s">
        <v>467</v>
      </c>
      <c r="J11" s="143" t="str">
        <f>IF(TBL_Q_05_PAS_C2_A[[#This Row],[Response]]="Enclosed", "", IF(COUNTIF(TBL_Q_05_PAS_C2_A[Response], "Enclosed")&gt;0, "Shade", ""))</f>
        <v/>
      </c>
      <c r="K11" s="143" t="str">
        <f>IF(TBL_Q_05_PAS_C2_A[[#This Row],[Response]]&lt;&gt;"", "Done", IF(COUNTIF(TBL_Q_05_PAS_C2_A[Response], "Enclosed")&gt;0, "", "Add"))</f>
        <v>Add</v>
      </c>
      <c r="L11" s="244" t="str">
        <f>IF(TBL_Q_05_PAS_C2_A[[#This Row],[Response]]="Enclosed", IF(TBL_Q_05_PAS_C2_A[[#This Row],[Supplier’s unique reference to supporting information]]&lt;&gt;"", "Done", "Add"), "Shade")</f>
        <v>Shade</v>
      </c>
      <c r="M11" s="147"/>
      <c r="N11" s="46"/>
      <c r="O11" s="46"/>
      <c r="P11" s="46"/>
      <c r="Q11" s="46"/>
    </row>
    <row r="12" spans="1:18" ht="75">
      <c r="A12" s="60"/>
      <c r="B12" s="50" t="s">
        <v>772</v>
      </c>
      <c r="C12" s="143" t="s">
        <v>775</v>
      </c>
      <c r="D12" s="140"/>
      <c r="E12" s="140"/>
      <c r="F12" s="154" t="s">
        <v>780</v>
      </c>
      <c r="G12" s="143" t="s">
        <v>753</v>
      </c>
      <c r="H12" s="140" t="s">
        <v>467</v>
      </c>
      <c r="I12" s="253" t="s">
        <v>467</v>
      </c>
      <c r="J12" s="143" t="str">
        <f>IF(TBL_Q_05_PAS_C2_A[[#This Row],[Response]]="Enclosed", "", IF(COUNTIF(TBL_Q_05_PAS_C2_A[Response], "Enclosed")&gt;0, "Shade", ""))</f>
        <v/>
      </c>
      <c r="K12" s="143" t="str">
        <f>IF(TBL_Q_05_PAS_C2_A[[#This Row],[Response]]&lt;&gt;"", "Done", IF(COUNTIF(TBL_Q_05_PAS_C2_A[Response], "Enclosed")&gt;0, "", "Add"))</f>
        <v>Add</v>
      </c>
      <c r="L12" s="244" t="str">
        <f>IF(TBL_Q_05_PAS_C2_A[[#This Row],[Response]]="Enclosed", IF(TBL_Q_05_PAS_C2_A[[#This Row],[Supplier’s unique reference to supporting information]]&lt;&gt;"", "Done", "Add"), "Shade")</f>
        <v>Shade</v>
      </c>
      <c r="M12" s="147"/>
      <c r="N12" s="46"/>
      <c r="O12" s="46"/>
      <c r="P12" s="46"/>
      <c r="Q12" s="46"/>
    </row>
    <row r="13" spans="1:18" ht="62.5">
      <c r="A13" s="60"/>
      <c r="B13" s="50" t="s">
        <v>773</v>
      </c>
      <c r="C13" s="143" t="s">
        <v>776</v>
      </c>
      <c r="D13" s="140"/>
      <c r="E13" s="140"/>
      <c r="F13" s="154" t="s">
        <v>781</v>
      </c>
      <c r="G13" s="143" t="s">
        <v>754</v>
      </c>
      <c r="H13" s="140" t="s">
        <v>467</v>
      </c>
      <c r="I13" s="219" t="s">
        <v>467</v>
      </c>
      <c r="J13" s="143" t="str">
        <f>IF(TBL_Q_05_PAS_C2_A[[#This Row],[Response]]="Enclosed", "", IF(COUNTIF(TBL_Q_05_PAS_C2_A[Response], "Enclosed")&gt;0, "Shade", ""))</f>
        <v/>
      </c>
      <c r="K13" s="143" t="str">
        <f>IF(TBL_Q_05_PAS_C2_A[[#This Row],[Response]]&lt;&gt;"", "Done", IF(COUNTIF(TBL_Q_05_PAS_C2_A[Response], "Enclosed")&gt;0, "", "Add"))</f>
        <v>Add</v>
      </c>
      <c r="L13" s="244" t="str">
        <f>IF(TBL_Q_05_PAS_C2_A[[#This Row],[Response]]="Enclosed", IF(TBL_Q_05_PAS_C2_A[[#This Row],[Supplier’s unique reference to supporting information]]&lt;&gt;"", "Done", "Add"), "Shade")</f>
        <v>Shade</v>
      </c>
      <c r="M13" s="147"/>
      <c r="N13" s="46"/>
      <c r="O13" s="46"/>
      <c r="P13" s="46"/>
      <c r="Q13" s="46"/>
    </row>
    <row r="14" spans="1:18" ht="87.5">
      <c r="A14" s="59"/>
      <c r="B14" s="50" t="s">
        <v>774</v>
      </c>
      <c r="C14" s="143" t="s">
        <v>777</v>
      </c>
      <c r="D14" s="140"/>
      <c r="E14" s="140"/>
      <c r="F14" s="154" t="s">
        <v>782</v>
      </c>
      <c r="G14" s="143" t="s">
        <v>755</v>
      </c>
      <c r="H14" s="140" t="s">
        <v>467</v>
      </c>
      <c r="I14" s="219" t="s">
        <v>467</v>
      </c>
      <c r="J14" s="143" t="str">
        <f>IF(TBL_Q_05_PAS_C2_A[[#This Row],[Response]]="Enclosed", "", IF(COUNTIF(TBL_Q_05_PAS_C2_A[Response], "Enclosed")&gt;0, "Shade", ""))</f>
        <v/>
      </c>
      <c r="K14" s="143" t="str">
        <f>IF(TBL_Q_05_PAS_C2_A[[#This Row],[Response]]&lt;&gt;"", "Done", IF(COUNTIF(TBL_Q_05_PAS_C2_A[Response], "Enclosed")&gt;0, "", "Add"))</f>
        <v>Add</v>
      </c>
      <c r="L14" s="244" t="str">
        <f>IF(TBL_Q_05_PAS_C2_A[[#This Row],[Response]]="Enclosed", IF(TBL_Q_05_PAS_C2_A[[#This Row],[Supplier’s unique reference to supporting information]]&lt;&gt;"", "Done", "Add"), "Shade")</f>
        <v>Shade</v>
      </c>
      <c r="M14" s="147"/>
      <c r="N14" s="46"/>
      <c r="O14" s="46"/>
      <c r="P14" s="46"/>
      <c r="Q14" s="46"/>
    </row>
    <row r="15" spans="1:18">
      <c r="A15" s="217"/>
      <c r="B15" s="217"/>
      <c r="C15" s="252"/>
      <c r="D15" s="220"/>
      <c r="E15" s="220"/>
      <c r="F15" s="251"/>
      <c r="G15" s="169"/>
      <c r="H15" s="227"/>
      <c r="I15" s="226"/>
      <c r="J15" s="169"/>
      <c r="K15" s="169"/>
      <c r="L15" s="247"/>
      <c r="M15" s="147"/>
      <c r="N15" s="46"/>
      <c r="O15" s="46"/>
      <c r="P15" s="46"/>
      <c r="Q15" s="46"/>
    </row>
    <row r="16" spans="1:18">
      <c r="A16" s="153" t="s">
        <v>585</v>
      </c>
      <c r="B16" s="115" t="s">
        <v>586</v>
      </c>
      <c r="C16" s="115" t="s">
        <v>330</v>
      </c>
      <c r="D16" s="156" t="s">
        <v>792</v>
      </c>
      <c r="E16" s="115" t="s">
        <v>19</v>
      </c>
      <c r="F16" s="156" t="s">
        <v>714</v>
      </c>
      <c r="G16" s="156" t="s">
        <v>90</v>
      </c>
      <c r="H16" s="115" t="s">
        <v>324</v>
      </c>
      <c r="I16" s="156" t="s">
        <v>1351</v>
      </c>
      <c r="J16" s="156" t="s">
        <v>88</v>
      </c>
      <c r="K16" s="156" t="s">
        <v>487</v>
      </c>
      <c r="L16" s="242"/>
      <c r="M16" s="147"/>
      <c r="N16" s="10"/>
      <c r="O16" s="10"/>
      <c r="P16" s="10"/>
      <c r="Q16" s="10"/>
    </row>
    <row r="17" spans="1:17" ht="25">
      <c r="A17" s="144" t="s">
        <v>751</v>
      </c>
      <c r="B17" s="39" t="s">
        <v>788</v>
      </c>
      <c r="C17" s="228" t="s">
        <v>1338</v>
      </c>
      <c r="D17" s="220"/>
      <c r="E17" s="223"/>
      <c r="F17" s="230" t="s">
        <v>751</v>
      </c>
      <c r="G17" s="143" t="s">
        <v>756</v>
      </c>
      <c r="H17" s="231"/>
      <c r="I17" s="232"/>
      <c r="J17" s="232"/>
      <c r="K17" s="232"/>
      <c r="L17" s="243"/>
      <c r="M17" s="147"/>
      <c r="N17" s="10"/>
      <c r="O17" s="10"/>
      <c r="P17" s="10"/>
      <c r="Q17" s="10"/>
    </row>
    <row r="18" spans="1:17">
      <c r="A18" s="145"/>
      <c r="B18" s="60"/>
      <c r="C18" s="155" t="s">
        <v>789</v>
      </c>
      <c r="D18" s="140" t="s">
        <v>790</v>
      </c>
      <c r="E18" s="47"/>
      <c r="F18" s="154" t="s">
        <v>783</v>
      </c>
      <c r="G18" s="140" t="s">
        <v>757</v>
      </c>
      <c r="H18" s="140" t="s">
        <v>467</v>
      </c>
      <c r="I18" s="219" t="s">
        <v>467</v>
      </c>
      <c r="J18" s="143" t="str">
        <f>IF(AND(TBL_Q_05_PAS_C2_B[[#This Row],[Include?]]="Yes", TBL_Q_05_PAS_C2_B[[#This Row],[Response?]]="Yes"), "", "Shade")</f>
        <v/>
      </c>
      <c r="K18" s="143" t="str">
        <f>IF(TBL_Q_05_PAS_C2_B[[#This Row],[Shade]]="Shade", "", IF(TBL_Q_05_PAS_C2_B[[#This Row],[Response]]&lt;&gt;"", "Done", "Add"))</f>
        <v>Add</v>
      </c>
      <c r="L18" s="194"/>
      <c r="M18" s="147"/>
      <c r="N18" s="10"/>
      <c r="O18" s="10"/>
      <c r="P18" s="10"/>
      <c r="Q18" s="10"/>
    </row>
    <row r="19" spans="1:17">
      <c r="A19" s="145"/>
      <c r="B19" s="60"/>
      <c r="C19" s="168"/>
      <c r="D19" s="140" t="s">
        <v>791</v>
      </c>
      <c r="E19" s="225"/>
      <c r="F19" s="154" t="s">
        <v>784</v>
      </c>
      <c r="G19" s="140" t="s">
        <v>758</v>
      </c>
      <c r="H19" s="140" t="s">
        <v>467</v>
      </c>
      <c r="I19" s="219" t="s">
        <v>467</v>
      </c>
      <c r="J19" s="143" t="str">
        <f>IF(AND(TBL_Q_05_PAS_C2_B[[#This Row],[Include?]]="Yes", TBL_Q_05_PAS_C2_B[[#This Row],[Response?]]="Yes"), "", "Shade")</f>
        <v/>
      </c>
      <c r="K19" s="143" t="str">
        <f>IF(TBL_Q_05_PAS_C2_B[[#This Row],[Shade]]="Shade", "", IF(TBL_Q_05_PAS_C2_B[[#This Row],[Response]]&lt;&gt;"", "Done", "Add"))</f>
        <v>Add</v>
      </c>
      <c r="L19" s="194"/>
      <c r="M19" s="147"/>
      <c r="N19" s="10"/>
      <c r="O19" s="10"/>
      <c r="P19" s="10"/>
      <c r="Q19" s="10"/>
    </row>
    <row r="20" spans="1:17">
      <c r="A20" s="145"/>
      <c r="B20" s="60"/>
      <c r="C20" s="168"/>
      <c r="D20" s="140" t="s">
        <v>793</v>
      </c>
      <c r="E20" s="225"/>
      <c r="F20" s="154" t="s">
        <v>785</v>
      </c>
      <c r="G20" s="140" t="s">
        <v>759</v>
      </c>
      <c r="H20" s="140" t="s">
        <v>467</v>
      </c>
      <c r="I20" s="219" t="s">
        <v>467</v>
      </c>
      <c r="J20" s="143" t="str">
        <f>IF(AND(TBL_Q_05_PAS_C2_B[[#This Row],[Include?]]="Yes", TBL_Q_05_PAS_C2_B[[#This Row],[Response?]]="Yes"), "", "Shade")</f>
        <v/>
      </c>
      <c r="K20" s="143" t="str">
        <f>IF(TBL_Q_05_PAS_C2_B[[#This Row],[Shade]]="Shade", "", IF(TBL_Q_05_PAS_C2_B[[#This Row],[Response]]&lt;&gt;"", "Done", "Add"))</f>
        <v>Add</v>
      </c>
      <c r="L20" s="194"/>
      <c r="M20" s="147"/>
      <c r="N20" s="10"/>
      <c r="O20" s="10"/>
      <c r="P20" s="10"/>
      <c r="Q20" s="10"/>
    </row>
    <row r="21" spans="1:17" ht="25">
      <c r="A21" s="145"/>
      <c r="B21" s="60"/>
      <c r="C21" s="168"/>
      <c r="D21" s="140" t="s">
        <v>794</v>
      </c>
      <c r="E21" s="225"/>
      <c r="F21" s="154" t="s">
        <v>786</v>
      </c>
      <c r="G21" s="140" t="s">
        <v>760</v>
      </c>
      <c r="H21" s="140" t="s">
        <v>467</v>
      </c>
      <c r="I21" s="219" t="s">
        <v>467</v>
      </c>
      <c r="J21" s="143" t="str">
        <f>IF(AND(TBL_Q_05_PAS_C2_B[[#This Row],[Include?]]="Yes", TBL_Q_05_PAS_C2_B[[#This Row],[Response?]]="Yes"), "", "Shade")</f>
        <v/>
      </c>
      <c r="K21" s="143" t="str">
        <f>IF(TBL_Q_05_PAS_C2_B[[#This Row],[Shade]]="Shade", "", IF(TBL_Q_05_PAS_C2_B[[#This Row],[Response]]&lt;&gt;"", "Done", "Add"))</f>
        <v>Add</v>
      </c>
      <c r="L21" s="194"/>
      <c r="M21" s="147"/>
      <c r="N21" s="10"/>
      <c r="O21" s="10"/>
      <c r="P21" s="10"/>
      <c r="Q21" s="10"/>
    </row>
    <row r="22" spans="1:17">
      <c r="A22" s="145"/>
      <c r="B22" s="60"/>
      <c r="C22" s="169"/>
      <c r="D22" s="140" t="s">
        <v>795</v>
      </c>
      <c r="E22" s="48"/>
      <c r="F22" s="154" t="s">
        <v>787</v>
      </c>
      <c r="G22" s="140" t="s">
        <v>761</v>
      </c>
      <c r="H22" s="140" t="s">
        <v>467</v>
      </c>
      <c r="I22" s="219" t="s">
        <v>467</v>
      </c>
      <c r="J22" s="143" t="str">
        <f>IF(AND(TBL_Q_05_PAS_C2_B[[#This Row],[Include?]]="Yes", TBL_Q_05_PAS_C2_B[[#This Row],[Response?]]="Yes"), "", "Shade")</f>
        <v/>
      </c>
      <c r="K22" s="143" t="str">
        <f>IF(TBL_Q_05_PAS_C2_B[[#This Row],[Shade]]="Shade", "", IF(TBL_Q_05_PAS_C2_B[[#This Row],[Response]]&lt;&gt;"", "Done", "Add"))</f>
        <v>Add</v>
      </c>
      <c r="L22" s="194"/>
      <c r="M22" s="147"/>
      <c r="N22" s="10"/>
      <c r="O22" s="10"/>
      <c r="P22" s="10"/>
      <c r="Q22" s="10"/>
    </row>
    <row r="23" spans="1:17">
      <c r="A23" s="145"/>
      <c r="B23" s="60"/>
      <c r="C23" s="155" t="s">
        <v>833</v>
      </c>
      <c r="D23" s="140" t="s">
        <v>810</v>
      </c>
      <c r="E23" s="47"/>
      <c r="F23" s="154" t="s">
        <v>811</v>
      </c>
      <c r="G23" s="140" t="s">
        <v>762</v>
      </c>
      <c r="H23" s="140" t="s">
        <v>467</v>
      </c>
      <c r="I23" s="219" t="s">
        <v>467</v>
      </c>
      <c r="J23" s="143" t="str">
        <f>IF(AND(TBL_Q_05_PAS_C2_B[[#This Row],[Include?]]="Yes", TBL_Q_05_PAS_C2_B[[#This Row],[Response?]]="Yes"), "", "Shade")</f>
        <v/>
      </c>
      <c r="K23" s="143" t="str">
        <f>IF(TBL_Q_05_PAS_C2_B[[#This Row],[Shade]]="Shade", "", IF(TBL_Q_05_PAS_C2_B[[#This Row],[Response]]&lt;&gt;"", "Done", "Add"))</f>
        <v>Add</v>
      </c>
      <c r="L23" s="194"/>
      <c r="M23" s="147"/>
      <c r="N23" s="10"/>
      <c r="O23" s="10"/>
      <c r="P23" s="10"/>
      <c r="Q23" s="10"/>
    </row>
    <row r="24" spans="1:17">
      <c r="A24" s="145"/>
      <c r="B24" s="60"/>
      <c r="C24" s="168"/>
      <c r="D24" s="140" t="s">
        <v>812</v>
      </c>
      <c r="E24" s="225"/>
      <c r="F24" s="154" t="s">
        <v>813</v>
      </c>
      <c r="G24" s="140" t="s">
        <v>763</v>
      </c>
      <c r="H24" s="140" t="s">
        <v>467</v>
      </c>
      <c r="I24" s="219" t="s">
        <v>467</v>
      </c>
      <c r="J24" s="143" t="str">
        <f>IF(AND(TBL_Q_05_PAS_C2_B[[#This Row],[Include?]]="Yes", TBL_Q_05_PAS_C2_B[[#This Row],[Response?]]="Yes"), "", "Shade")</f>
        <v/>
      </c>
      <c r="K24" s="143" t="str">
        <f>IF(TBL_Q_05_PAS_C2_B[[#This Row],[Shade]]="Shade", "", IF(TBL_Q_05_PAS_C2_B[[#This Row],[Response]]&lt;&gt;"", "Done", "Add"))</f>
        <v>Add</v>
      </c>
      <c r="L24" s="194"/>
      <c r="M24" s="147"/>
      <c r="N24" s="10"/>
      <c r="O24" s="10"/>
      <c r="P24" s="10"/>
      <c r="Q24" s="10"/>
    </row>
    <row r="25" spans="1:17">
      <c r="A25" s="145"/>
      <c r="B25" s="60"/>
      <c r="C25" s="168"/>
      <c r="D25" s="140" t="s">
        <v>814</v>
      </c>
      <c r="E25" s="225"/>
      <c r="F25" s="154" t="s">
        <v>815</v>
      </c>
      <c r="G25" s="140" t="s">
        <v>764</v>
      </c>
      <c r="H25" s="140" t="s">
        <v>467</v>
      </c>
      <c r="I25" s="219" t="s">
        <v>467</v>
      </c>
      <c r="J25" s="143" t="str">
        <f>IF(AND(TBL_Q_05_PAS_C2_B[[#This Row],[Include?]]="Yes", TBL_Q_05_PAS_C2_B[[#This Row],[Response?]]="Yes"), "", "Shade")</f>
        <v/>
      </c>
      <c r="K25" s="143" t="str">
        <f>IF(TBL_Q_05_PAS_C2_B[[#This Row],[Shade]]="Shade", "", IF(TBL_Q_05_PAS_C2_B[[#This Row],[Response]]&lt;&gt;"", "Done", "Add"))</f>
        <v>Add</v>
      </c>
      <c r="L25" s="194"/>
      <c r="M25" s="147"/>
      <c r="N25" s="10"/>
      <c r="O25" s="10"/>
      <c r="P25" s="10"/>
      <c r="Q25" s="10"/>
    </row>
    <row r="26" spans="1:17" ht="25">
      <c r="A26" s="145"/>
      <c r="B26" s="60"/>
      <c r="C26" s="168"/>
      <c r="D26" s="140" t="s">
        <v>816</v>
      </c>
      <c r="E26" s="225"/>
      <c r="F26" s="154" t="s">
        <v>817</v>
      </c>
      <c r="G26" s="140" t="s">
        <v>820</v>
      </c>
      <c r="H26" s="140" t="s">
        <v>467</v>
      </c>
      <c r="I26" s="219" t="s">
        <v>467</v>
      </c>
      <c r="J26" s="143" t="str">
        <f>IF(AND(TBL_Q_05_PAS_C2_B[[#This Row],[Include?]]="Yes", TBL_Q_05_PAS_C2_B[[#This Row],[Response?]]="Yes"), "", "Shade")</f>
        <v/>
      </c>
      <c r="K26" s="143" t="str">
        <f>IF(TBL_Q_05_PAS_C2_B[[#This Row],[Shade]]="Shade", "", IF(TBL_Q_05_PAS_C2_B[[#This Row],[Response]]&lt;&gt;"", "Done", "Add"))</f>
        <v>Add</v>
      </c>
      <c r="L26" s="194"/>
      <c r="M26" s="147"/>
      <c r="N26" s="10"/>
      <c r="O26" s="10"/>
      <c r="P26" s="10"/>
      <c r="Q26" s="10"/>
    </row>
    <row r="27" spans="1:17">
      <c r="A27" s="145"/>
      <c r="B27" s="60"/>
      <c r="C27" s="169"/>
      <c r="D27" s="140" t="s">
        <v>818</v>
      </c>
      <c r="E27" s="48"/>
      <c r="F27" s="154" t="s">
        <v>819</v>
      </c>
      <c r="G27" s="140" t="s">
        <v>821</v>
      </c>
      <c r="H27" s="140" t="s">
        <v>467</v>
      </c>
      <c r="I27" s="219" t="s">
        <v>467</v>
      </c>
      <c r="J27" s="143" t="str">
        <f>IF(AND(TBL_Q_05_PAS_C2_B[[#This Row],[Include?]]="Yes", TBL_Q_05_PAS_C2_B[[#This Row],[Response?]]="Yes"), "", "Shade")</f>
        <v/>
      </c>
      <c r="K27" s="143" t="str">
        <f>IF(TBL_Q_05_PAS_C2_B[[#This Row],[Shade]]="Shade", "", IF(TBL_Q_05_PAS_C2_B[[#This Row],[Response]]&lt;&gt;"", "Done", "Add"))</f>
        <v>Add</v>
      </c>
      <c r="L27" s="194"/>
      <c r="M27" s="147"/>
      <c r="N27" s="10"/>
      <c r="O27" s="10"/>
      <c r="P27" s="10"/>
      <c r="Q27" s="10"/>
    </row>
    <row r="28" spans="1:17">
      <c r="A28" s="145"/>
      <c r="B28" s="60"/>
      <c r="C28" s="155" t="s">
        <v>832</v>
      </c>
      <c r="D28" s="140" t="s">
        <v>803</v>
      </c>
      <c r="E28" s="47"/>
      <c r="F28" s="154" t="s">
        <v>804</v>
      </c>
      <c r="G28" s="140" t="s">
        <v>822</v>
      </c>
      <c r="H28" s="140" t="str">
        <f t="array" ref="H28">IF(AND(INDEX(TBL_DATA_00_Doc_Merge[Insurance_PI], MATCH(1,("All"=TBL_DATA_00_Doc_Merge[Lot])*(REF_Job_No=TBL_DATA_00_Doc_Merge[Job_No]),0))&lt;&gt;"", INDEX(TBL_DATA_00_Doc_Merge[Insurance_PI], MATCH(1,("All"=TBL_DATA_00_Doc_Merge[Lot])*(REF_Job_No=TBL_DATA_00_Doc_Merge[Job_No]),0))&gt;0), "Yes", "No")</f>
        <v>Yes</v>
      </c>
      <c r="I28" s="140" t="str">
        <f t="array" ref="I28">IF(AND(INDEX(TBL_DATA_00_Doc_Merge[Insurance_PI], MATCH(1,("All"=TBL_DATA_00_Doc_Merge[Lot])*(REF_Job_No=TBL_DATA_00_Doc_Merge[Job_No]),0))&lt;&gt;"", INDEX(TBL_DATA_00_Doc_Merge[Insurance_PI], MATCH(1,("All"=TBL_DATA_00_Doc_Merge[Lot])*(REF_Job_No=TBL_DATA_00_Doc_Merge[Job_No]),0))&gt;0), "Yes", "No")</f>
        <v>Yes</v>
      </c>
      <c r="J28" s="143" t="str">
        <f>IF(AND(TBL_Q_05_PAS_C2_B[[#This Row],[Include?]]="Yes", TBL_Q_05_PAS_C2_B[[#This Row],[Response?]]="Yes"), "", "Shade")</f>
        <v/>
      </c>
      <c r="K28" s="143" t="str">
        <f>IF(TBL_Q_05_PAS_C2_B[[#This Row],[Shade]]="Shade", "", IF(TBL_Q_05_PAS_C2_B[[#This Row],[Response]]&lt;&gt;"", "Done", "Add"))</f>
        <v>Add</v>
      </c>
      <c r="L28" s="194"/>
      <c r="M28" s="147"/>
      <c r="N28" s="10"/>
      <c r="O28" s="10"/>
      <c r="P28" s="10"/>
      <c r="Q28" s="10"/>
    </row>
    <row r="29" spans="1:17">
      <c r="A29" s="145"/>
      <c r="B29" s="60"/>
      <c r="C29" s="168" t="s">
        <v>831</v>
      </c>
      <c r="D29" s="140" t="s">
        <v>805</v>
      </c>
      <c r="E29" s="225"/>
      <c r="F29" s="154" t="s">
        <v>806</v>
      </c>
      <c r="G29" s="140" t="s">
        <v>823</v>
      </c>
      <c r="H29" s="140" t="str">
        <f t="array" ref="H29">IF(AND(INDEX(TBL_DATA_00_Doc_Merge[Insurance_PI], MATCH(1,("All"=TBL_DATA_00_Doc_Merge[Lot])*(REF_Job_No=TBL_DATA_00_Doc_Merge[Job_No]),0))&lt;&gt;"", INDEX(TBL_DATA_00_Doc_Merge[Insurance_PI], MATCH(1,("All"=TBL_DATA_00_Doc_Merge[Lot])*(REF_Job_No=TBL_DATA_00_Doc_Merge[Job_No]),0))&gt;0), "Yes", "No")</f>
        <v>Yes</v>
      </c>
      <c r="I29" s="140" t="str">
        <f t="array" ref="I29">IF(AND(INDEX(TBL_DATA_00_Doc_Merge[Insurance_PI], MATCH(1,("All"=TBL_DATA_00_Doc_Merge[Lot])*(REF_Job_No=TBL_DATA_00_Doc_Merge[Job_No]),0))&lt;&gt;"", INDEX(TBL_DATA_00_Doc_Merge[Insurance_PI], MATCH(1,("All"=TBL_DATA_00_Doc_Merge[Lot])*(REF_Job_No=TBL_DATA_00_Doc_Merge[Job_No]),0))&gt;0), "Yes", "No")</f>
        <v>Yes</v>
      </c>
      <c r="J29" s="143" t="str">
        <f>IF(AND(TBL_Q_05_PAS_C2_B[[#This Row],[Include?]]="Yes", TBL_Q_05_PAS_C2_B[[#This Row],[Response?]]="Yes"), "", "Shade")</f>
        <v/>
      </c>
      <c r="K29" s="143" t="str">
        <f>IF(TBL_Q_05_PAS_C2_B[[#This Row],[Shade]]="Shade", "", IF(TBL_Q_05_PAS_C2_B[[#This Row],[Response]]&lt;&gt;"", "Done", "Add"))</f>
        <v>Add</v>
      </c>
      <c r="L29" s="194"/>
      <c r="M29" s="147"/>
      <c r="N29" s="10"/>
      <c r="O29" s="10"/>
      <c r="P29" s="10"/>
      <c r="Q29" s="10"/>
    </row>
    <row r="30" spans="1:17">
      <c r="A30" s="145"/>
      <c r="B30" s="60"/>
      <c r="C30" s="168"/>
      <c r="D30" s="140" t="s">
        <v>807</v>
      </c>
      <c r="E30" s="225"/>
      <c r="F30" s="154" t="s">
        <v>808</v>
      </c>
      <c r="G30" s="140" t="s">
        <v>824</v>
      </c>
      <c r="H30" s="140" t="str">
        <f t="array" ref="H30">IF(AND(INDEX(TBL_DATA_00_Doc_Merge[Insurance_PI], MATCH(1,("All"=TBL_DATA_00_Doc_Merge[Lot])*(REF_Job_No=TBL_DATA_00_Doc_Merge[Job_No]),0))&lt;&gt;"", INDEX(TBL_DATA_00_Doc_Merge[Insurance_PI], MATCH(1,("All"=TBL_DATA_00_Doc_Merge[Lot])*(REF_Job_No=TBL_DATA_00_Doc_Merge[Job_No]),0))&gt;0), "Yes", "No")</f>
        <v>Yes</v>
      </c>
      <c r="I30" s="140" t="str">
        <f t="array" ref="I30">IF(AND(INDEX(TBL_DATA_00_Doc_Merge[Insurance_PI], MATCH(1,("All"=TBL_DATA_00_Doc_Merge[Lot])*(REF_Job_No=TBL_DATA_00_Doc_Merge[Job_No]),0))&lt;&gt;"", INDEX(TBL_DATA_00_Doc_Merge[Insurance_PI], MATCH(1,("All"=TBL_DATA_00_Doc_Merge[Lot])*(REF_Job_No=TBL_DATA_00_Doc_Merge[Job_No]),0))&gt;0), "Yes", "No")</f>
        <v>Yes</v>
      </c>
      <c r="J30" s="143" t="str">
        <f>IF(AND(TBL_Q_05_PAS_C2_B[[#This Row],[Include?]]="Yes", TBL_Q_05_PAS_C2_B[[#This Row],[Response?]]="Yes"), "", "Shade")</f>
        <v/>
      </c>
      <c r="K30" s="143" t="str">
        <f>IF(TBL_Q_05_PAS_C2_B[[#This Row],[Shade]]="Shade", "", IF(TBL_Q_05_PAS_C2_B[[#This Row],[Response]]&lt;&gt;"", "Done", "Add"))</f>
        <v>Add</v>
      </c>
      <c r="L30" s="194"/>
      <c r="M30" s="147"/>
      <c r="N30" s="10"/>
      <c r="O30" s="10"/>
      <c r="P30" s="10"/>
      <c r="Q30" s="10"/>
    </row>
    <row r="31" spans="1:17">
      <c r="A31" s="145"/>
      <c r="B31" s="60"/>
      <c r="C31" s="168"/>
      <c r="D31" s="140" t="s">
        <v>834</v>
      </c>
      <c r="E31" s="48"/>
      <c r="F31" s="154" t="s">
        <v>809</v>
      </c>
      <c r="G31" s="140" t="s">
        <v>825</v>
      </c>
      <c r="H31" s="140" t="str">
        <f t="array" ref="H31">IF(AND(INDEX(TBL_DATA_00_Doc_Merge[Insurance_PI], MATCH(1,("All"=TBL_DATA_00_Doc_Merge[Lot])*(REF_Job_No=TBL_DATA_00_Doc_Merge[Job_No]),0))&lt;&gt;"", INDEX(TBL_DATA_00_Doc_Merge[Insurance_PI], MATCH(1,("All"=TBL_DATA_00_Doc_Merge[Lot])*(REF_Job_No=TBL_DATA_00_Doc_Merge[Job_No]),0))&gt;0), "Yes", "No")</f>
        <v>Yes</v>
      </c>
      <c r="I31" s="140" t="str">
        <f t="array" ref="I31">IF(AND(INDEX(TBL_DATA_00_Doc_Merge[Insurance_PI], MATCH(1,("All"=TBL_DATA_00_Doc_Merge[Lot])*(REF_Job_No=TBL_DATA_00_Doc_Merge[Job_No]),0))&lt;&gt;"", INDEX(TBL_DATA_00_Doc_Merge[Insurance_PI], MATCH(1,("All"=TBL_DATA_00_Doc_Merge[Lot])*(REF_Job_No=TBL_DATA_00_Doc_Merge[Job_No]),0))&gt;0), "Yes", "No")</f>
        <v>Yes</v>
      </c>
      <c r="J31" s="143" t="str">
        <f>IF(AND(TBL_Q_05_PAS_C2_B[[#This Row],[Include?]]="Yes", TBL_Q_05_PAS_C2_B[[#This Row],[Response?]]="Yes"), "", "Shade")</f>
        <v/>
      </c>
      <c r="K31" s="143" t="str">
        <f>IF(TBL_Q_05_PAS_C2_B[[#This Row],[Shade]]="Shade", "", IF(TBL_Q_05_PAS_C2_B[[#This Row],[Response]]&lt;&gt;"", "Done", "Add"))</f>
        <v>Add</v>
      </c>
      <c r="L31" s="194"/>
      <c r="M31" s="147"/>
      <c r="N31" s="10"/>
      <c r="O31" s="10"/>
      <c r="P31" s="10"/>
      <c r="Q31" s="10"/>
    </row>
    <row r="32" spans="1:17">
      <c r="A32" s="145"/>
      <c r="B32" s="60"/>
      <c r="C32" s="155" t="s">
        <v>829</v>
      </c>
      <c r="D32" s="140" t="s">
        <v>796</v>
      </c>
      <c r="E32" s="47"/>
      <c r="F32" s="154" t="s">
        <v>797</v>
      </c>
      <c r="G32" s="140" t="s">
        <v>826</v>
      </c>
      <c r="H32" s="140" t="str">
        <f t="array" ref="H32">IF(AND(INDEX(TBL_DATA_00_Doc_Merge[Insurance_Product], MATCH(1,("All"=TBL_DATA_00_Doc_Merge[Lot])*(REF_Job_No=TBL_DATA_00_Doc_Merge[Job_No]),0))&lt;&gt;"", INDEX(TBL_DATA_00_Doc_Merge[Insurance_Product], MATCH(1,("All"=TBL_DATA_00_Doc_Merge[Lot])*(REF_Job_No=TBL_DATA_00_Doc_Merge[Job_No]),0))&gt;0), "Yes", "No")</f>
        <v>No</v>
      </c>
      <c r="I32" s="140" t="str">
        <f t="array" ref="I32">IF(AND(INDEX(TBL_DATA_00_Doc_Merge[Insurance_Product], MATCH(1,("All"=TBL_DATA_00_Doc_Merge[Lot])*(REF_Job_No=TBL_DATA_00_Doc_Merge[Job_No]),0))&lt;&gt;"", INDEX(TBL_DATA_00_Doc_Merge[Insurance_Product], MATCH(1,("All"=TBL_DATA_00_Doc_Merge[Lot])*(REF_Job_No=TBL_DATA_00_Doc_Merge[Job_No]),0))&gt;0), "Yes", "No")</f>
        <v>No</v>
      </c>
      <c r="J32" s="143" t="str">
        <f>IF(AND(TBL_Q_05_PAS_C2_B[[#This Row],[Include?]]="Yes", TBL_Q_05_PAS_C2_B[[#This Row],[Response?]]="Yes"), "", "Shade")</f>
        <v>Shade</v>
      </c>
      <c r="K32" s="143" t="str">
        <f>IF(TBL_Q_05_PAS_C2_B[[#This Row],[Shade]]="Shade", "", IF(TBL_Q_05_PAS_C2_B[[#This Row],[Response]]&lt;&gt;"", "Done", "Add"))</f>
        <v/>
      </c>
      <c r="L32" s="194"/>
      <c r="M32" s="147"/>
      <c r="N32" s="10"/>
      <c r="O32" s="10"/>
      <c r="P32" s="10"/>
      <c r="Q32" s="10"/>
    </row>
    <row r="33" spans="1:17">
      <c r="A33" s="145"/>
      <c r="B33" s="60"/>
      <c r="C33" s="168" t="s">
        <v>830</v>
      </c>
      <c r="D33" s="140" t="s">
        <v>798</v>
      </c>
      <c r="E33" s="225"/>
      <c r="F33" s="154" t="s">
        <v>799</v>
      </c>
      <c r="G33" s="140" t="s">
        <v>827</v>
      </c>
      <c r="H33" s="140" t="str">
        <f t="array" ref="H33">IF(AND(INDEX(TBL_DATA_00_Doc_Merge[Insurance_Product], MATCH(1,("All"=TBL_DATA_00_Doc_Merge[Lot])*(REF_Job_No=TBL_DATA_00_Doc_Merge[Job_No]),0))&lt;&gt;"", INDEX(TBL_DATA_00_Doc_Merge[Insurance_Product], MATCH(1,("All"=TBL_DATA_00_Doc_Merge[Lot])*(REF_Job_No=TBL_DATA_00_Doc_Merge[Job_No]),0))&gt;0), "Yes", "No")</f>
        <v>No</v>
      </c>
      <c r="I33" s="140" t="str">
        <f t="array" ref="I33">IF(AND(INDEX(TBL_DATA_00_Doc_Merge[Insurance_Product], MATCH(1,("All"=TBL_DATA_00_Doc_Merge[Lot])*(REF_Job_No=TBL_DATA_00_Doc_Merge[Job_No]),0))&lt;&gt;"", INDEX(TBL_DATA_00_Doc_Merge[Insurance_Product], MATCH(1,("All"=TBL_DATA_00_Doc_Merge[Lot])*(REF_Job_No=TBL_DATA_00_Doc_Merge[Job_No]),0))&gt;0), "Yes", "No")</f>
        <v>No</v>
      </c>
      <c r="J33" s="143" t="str">
        <f>IF(AND(TBL_Q_05_PAS_C2_B[[#This Row],[Include?]]="Yes", TBL_Q_05_PAS_C2_B[[#This Row],[Response?]]="Yes"), "", "Shade")</f>
        <v>Shade</v>
      </c>
      <c r="K33" s="143" t="str">
        <f>IF(TBL_Q_05_PAS_C2_B[[#This Row],[Shade]]="Shade", "", IF(TBL_Q_05_PAS_C2_B[[#This Row],[Response]]&lt;&gt;"", "Done", "Add"))</f>
        <v/>
      </c>
      <c r="L33" s="194"/>
      <c r="M33" s="147"/>
      <c r="N33" s="10"/>
      <c r="O33" s="10"/>
      <c r="P33" s="10"/>
      <c r="Q33" s="10"/>
    </row>
    <row r="34" spans="1:17">
      <c r="A34" s="145"/>
      <c r="B34" s="60"/>
      <c r="C34" s="168"/>
      <c r="D34" s="140" t="s">
        <v>800</v>
      </c>
      <c r="E34" s="225"/>
      <c r="F34" s="154" t="s">
        <v>801</v>
      </c>
      <c r="G34" s="140" t="s">
        <v>828</v>
      </c>
      <c r="H34" s="140" t="str">
        <f t="array" ref="H34">IF(AND(INDEX(TBL_DATA_00_Doc_Merge[Insurance_Product], MATCH(1,("All"=TBL_DATA_00_Doc_Merge[Lot])*(REF_Job_No=TBL_DATA_00_Doc_Merge[Job_No]),0))&lt;&gt;"", INDEX(TBL_DATA_00_Doc_Merge[Insurance_Product], MATCH(1,("All"=TBL_DATA_00_Doc_Merge[Lot])*(REF_Job_No=TBL_DATA_00_Doc_Merge[Job_No]),0))&gt;0), "Yes", "No")</f>
        <v>No</v>
      </c>
      <c r="I34" s="140" t="str">
        <f t="array" ref="I34">IF(AND(INDEX(TBL_DATA_00_Doc_Merge[Insurance_Product], MATCH(1,("All"=TBL_DATA_00_Doc_Merge[Lot])*(REF_Job_No=TBL_DATA_00_Doc_Merge[Job_No]),0))&lt;&gt;"", INDEX(TBL_DATA_00_Doc_Merge[Insurance_Product], MATCH(1,("All"=TBL_DATA_00_Doc_Merge[Lot])*(REF_Job_No=TBL_DATA_00_Doc_Merge[Job_No]),0))&gt;0), "Yes", "No")</f>
        <v>No</v>
      </c>
      <c r="J34" s="143" t="str">
        <f>IF(AND(TBL_Q_05_PAS_C2_B[[#This Row],[Include?]]="Yes", TBL_Q_05_PAS_C2_B[[#This Row],[Response?]]="Yes"), "", "Shade")</f>
        <v>Shade</v>
      </c>
      <c r="K34" s="143" t="str">
        <f>IF(TBL_Q_05_PAS_C2_B[[#This Row],[Shade]]="Shade", "", IF(TBL_Q_05_PAS_C2_B[[#This Row],[Response]]&lt;&gt;"", "Done", "Add"))</f>
        <v/>
      </c>
      <c r="L34" s="194"/>
      <c r="M34" s="147"/>
      <c r="N34" s="10"/>
      <c r="O34" s="10"/>
      <c r="P34" s="10"/>
      <c r="Q34" s="10"/>
    </row>
    <row r="35" spans="1:17">
      <c r="A35" s="146"/>
      <c r="B35" s="59"/>
      <c r="C35" s="169"/>
      <c r="D35" s="140" t="s">
        <v>835</v>
      </c>
      <c r="E35" s="48"/>
      <c r="F35" s="154" t="s">
        <v>802</v>
      </c>
      <c r="G35" s="140" t="s">
        <v>1336</v>
      </c>
      <c r="H35" s="140" t="str">
        <f t="array" ref="H35">IF(AND(INDEX(TBL_DATA_00_Doc_Merge[Insurance_Product], MATCH(1,("All"=TBL_DATA_00_Doc_Merge[Lot])*(REF_Job_No=TBL_DATA_00_Doc_Merge[Job_No]),0))&lt;&gt;"", INDEX(TBL_DATA_00_Doc_Merge[Insurance_Product], MATCH(1,("All"=TBL_DATA_00_Doc_Merge[Lot])*(REF_Job_No=TBL_DATA_00_Doc_Merge[Job_No]),0))&gt;0), "Yes", "No")</f>
        <v>No</v>
      </c>
      <c r="I35" s="140" t="str">
        <f t="array" ref="I35">IF(AND(INDEX(TBL_DATA_00_Doc_Merge[Insurance_Product], MATCH(1,("All"=TBL_DATA_00_Doc_Merge[Lot])*(REF_Job_No=TBL_DATA_00_Doc_Merge[Job_No]),0))&lt;&gt;"", INDEX(TBL_DATA_00_Doc_Merge[Insurance_Product], MATCH(1,("All"=TBL_DATA_00_Doc_Merge[Lot])*(REF_Job_No=TBL_DATA_00_Doc_Merge[Job_No]),0))&gt;0), "Yes", "No")</f>
        <v>No</v>
      </c>
      <c r="J35" s="143" t="str">
        <f>IF(AND(TBL_Q_05_PAS_C2_B[[#This Row],[Include?]]="Yes", TBL_Q_05_PAS_C2_B[[#This Row],[Response?]]="Yes"), "", "Shade")</f>
        <v>Shade</v>
      </c>
      <c r="K35" s="143" t="str">
        <f>IF(TBL_Q_05_PAS_C2_B[[#This Row],[Shade]]="Shade", "", IF(TBL_Q_05_PAS_C2_B[[#This Row],[Response]]&lt;&gt;"", "Done", "Add"))</f>
        <v/>
      </c>
      <c r="L35" s="194"/>
      <c r="M35" s="147"/>
      <c r="N35" s="10"/>
      <c r="O35" s="10"/>
      <c r="P35" s="10"/>
      <c r="Q35" s="10"/>
    </row>
  </sheetData>
  <sheetProtection algorithmName="SHA-512" hashValue="Go1eaASrk+t0wDi8rADQi9OdnajtHpZiZdKQ3mIo6BhRO5KaoLXil7wAy4/MRIJ6dcVPbaPjKQfI1p3/fYOSxA==" saltValue="xj/lNvgo7mOamAYzxveXSA==" spinCount="100000" sheet="1" objects="1" scenarios="1"/>
  <protectedRanges>
    <protectedRange sqref="D10:E14 E18:E35" name="Response"/>
  </protectedRanges>
  <dataConsolidate link="1"/>
  <conditionalFormatting sqref="B10:E15 C18:E35">
    <cfRule type="expression" dxfId="120" priority="1">
      <formula>INDIRECT("J"&amp;ROW())="Shade"</formula>
    </cfRule>
  </conditionalFormatting>
  <conditionalFormatting sqref="D10:D15 E18:E35">
    <cfRule type="expression" dxfId="119" priority="17">
      <formula>INDIRECT("K"&amp;ROW())="Done"</formula>
    </cfRule>
    <cfRule type="expression" dxfId="118" priority="18">
      <formula>INDIRECT("K"&amp;ROW())="Add"</formula>
    </cfRule>
  </conditionalFormatting>
  <conditionalFormatting sqref="E10:E15">
    <cfRule type="expression" dxfId="117" priority="2">
      <formula>INDIRECT("L"&amp;ROW())="Shade"</formula>
    </cfRule>
    <cfRule type="expression" dxfId="116" priority="3">
      <formula>INDIRECT("L"&amp;ROW())="Done"</formula>
    </cfRule>
    <cfRule type="expression" dxfId="115" priority="16">
      <formula>INDIRECT("L"&amp;ROW())="Add"</formula>
    </cfRule>
  </conditionalFormatting>
  <dataValidations disablePrompts="1" count="1">
    <dataValidation type="list" allowBlank="1" showInputMessage="1" showErrorMessage="1" sqref="D9:D15" xr:uid="{4A59CD2D-7DF8-4956-90D5-7831E9D810D9}">
      <formula1>"Enclosed, Not applicable"</formula1>
    </dataValidation>
  </dataValidations>
  <pageMargins left="0.59055118110236227" right="0.59055118110236227" top="0.39370078740157483" bottom="0.78740157480314965" header="0" footer="0.39370078740157483"/>
  <pageSetup paperSize="9" orientation="landscape" r:id="rId1"/>
  <headerFooter>
    <oddFooter>&amp;C&amp;"Arial,Regular"&amp;10&amp;K00-049&amp;P</oddFooter>
  </headerFooter>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31491-7743-4FAF-862F-A709B56B0124}">
  <sheetPr codeName="Sheet34"/>
  <dimension ref="A1:D79"/>
  <sheetViews>
    <sheetView view="pageLayout" topLeftCell="A38" zoomScaleNormal="100" workbookViewId="0">
      <selection activeCell="A37" sqref="A1:XFD37"/>
    </sheetView>
  </sheetViews>
  <sheetFormatPr defaultColWidth="9" defaultRowHeight="12.5"/>
  <cols>
    <col min="1" max="1" width="7.36328125" style="12" customWidth="1"/>
    <col min="2" max="2" width="67.6328125" style="12" customWidth="1"/>
    <col min="3" max="3" width="11.90625" style="16" customWidth="1"/>
    <col min="4" max="4" width="14.36328125" style="12" customWidth="1"/>
    <col min="5" max="5" width="9.08984375" style="12" customWidth="1"/>
    <col min="6" max="6" width="9.6328125" style="12" customWidth="1"/>
    <col min="7" max="16384" width="9" style="12"/>
  </cols>
  <sheetData>
    <row r="1" spans="1:4" s="1" customFormat="1" ht="14" hidden="1">
      <c r="C1" s="15"/>
    </row>
    <row r="2" spans="1:4" s="1" customFormat="1" ht="17.5" hidden="1">
      <c r="A2" s="88" t="str">
        <f>IF(AND('Project Info'!$K$14="Open Procedure", 'Project Info'!$K$18="PAS"), "Contents", "Delete this tab")</f>
        <v>Contents</v>
      </c>
      <c r="C2" s="15"/>
    </row>
    <row r="3" spans="1:4" hidden="1">
      <c r="A3" s="11"/>
    </row>
    <row r="4" spans="1:4" ht="13" hidden="1">
      <c r="A4" s="559" t="s">
        <v>90</v>
      </c>
      <c r="B4" s="560" t="s">
        <v>20</v>
      </c>
      <c r="C4" s="578" t="s">
        <v>151</v>
      </c>
      <c r="D4" s="13"/>
    </row>
    <row r="5" spans="1:4" s="14" customFormat="1" ht="22.5" hidden="1" customHeight="1">
      <c r="A5" s="577" t="s">
        <v>143</v>
      </c>
      <c r="B5" s="282" t="str">
        <f>CONCATENATE('Part 1_Core 1'!$A$6, " - ", 'Part 1_Core 1'!$B$6)</f>
        <v>C1 - Supplier identity, key roles and contact information</v>
      </c>
      <c r="C5" s="579" t="str">
        <f>'Part 1_Core 1'!$K$1</f>
        <v>Incomplete</v>
      </c>
    </row>
    <row r="6" spans="1:4" s="14" customFormat="1" ht="22.5" hidden="1" customHeight="1">
      <c r="A6" s="577" t="s">
        <v>143</v>
      </c>
      <c r="B6" s="282" t="str">
        <f>CONCATENATE('Part 1_Core 2'!$A$6, " - ", 'Part 1_Core 2'!$B$6)</f>
        <v>C2 - Financial information</v>
      </c>
      <c r="C6" s="579" t="str">
        <f>'Part 1_Core 2'!$M$1</f>
        <v>Incomplete</v>
      </c>
    </row>
    <row r="7" spans="1:4" s="14" customFormat="1" ht="22.5" hidden="1" customHeight="1">
      <c r="A7" s="577" t="s">
        <v>143</v>
      </c>
      <c r="B7" s="282" t="str">
        <f>CONCATENATE('Part 1_Core 3'!$A$6, " - ", 'Part 1_Core 3'!$B$6)</f>
        <v>C3 - Public Sector procurement</v>
      </c>
      <c r="C7" s="579" t="str">
        <f>'Part 1_Core 3'!$J$1</f>
        <v>Incomplete</v>
      </c>
    </row>
    <row r="8" spans="1:4" s="14" customFormat="1" ht="22.5" hidden="1" customHeight="1">
      <c r="A8" s="577" t="s">
        <v>143</v>
      </c>
      <c r="B8" s="282" t="str">
        <f>CONCATENATE('Part 1_Core 3_D&amp;S'!$A$6, " - ", 'Part 1_Core 3_D&amp;S'!$B$6)</f>
        <v>C3 - Delete this tab</v>
      </c>
      <c r="C8" s="579" t="str">
        <f>'Part 1_Core 3_D&amp;S'!$J$1</f>
        <v>Incomplete</v>
      </c>
    </row>
    <row r="9" spans="1:4" s="14" customFormat="1" ht="22.5" hidden="1" customHeight="1">
      <c r="A9" s="577" t="s">
        <v>143</v>
      </c>
      <c r="B9" s="282" t="e">
        <f xml:space="preserve"> CONCATENATE(#REF!, " - ",#REF!)</f>
        <v>#REF!</v>
      </c>
      <c r="C9" s="579" t="e">
        <f>#REF!</f>
        <v>#REF!</v>
      </c>
    </row>
    <row r="10" spans="1:4" s="14" customFormat="1" ht="22.5" hidden="1" customHeight="1">
      <c r="A10" s="577" t="s">
        <v>143</v>
      </c>
      <c r="B10" s="282" t="str">
        <f>CONCATENATE('Part 1_Core 4'!$A$6, " - ", 'Part 1_Core 4'!$B$6)</f>
        <v>C4 - Health and safety: policy and capability</v>
      </c>
      <c r="C10" s="579" t="str">
        <f>'Part 1_Core 4'!$L$1</f>
        <v>Incomplete</v>
      </c>
    </row>
    <row r="11" spans="1:4" s="14" customFormat="1" ht="22.5" hidden="1" customHeight="1">
      <c r="A11" s="577" t="s">
        <v>144</v>
      </c>
      <c r="B11" s="282" t="str">
        <f>CONCATENATE('Part 2_Optional 1'!$A$6, " - ", 'Part 2_Optional 1'!$B$6)</f>
        <v>O1 - Equal opportunity and diversity policy and capability</v>
      </c>
      <c r="C11" s="579" t="str">
        <f>'Part 2_Optional 1'!$M$1</f>
        <v>Incomplete</v>
      </c>
    </row>
    <row r="12" spans="1:4" s="14" customFormat="1" ht="21" hidden="1" customHeight="1">
      <c r="A12" s="577" t="s">
        <v>144</v>
      </c>
      <c r="B12" s="282" t="str">
        <f>CONCATENATE('Part 2_Optional 2'!$A$6, " - ", 'Part 2_Optional 2'!$B$6)</f>
        <v>O2 - Environmental management policy and capability</v>
      </c>
      <c r="C12" s="579" t="str">
        <f>'Part 2_Optional 2'!$M$1</f>
        <v>Incomplete</v>
      </c>
    </row>
    <row r="13" spans="1:4" s="14" customFormat="1" ht="21" hidden="1" customHeight="1">
      <c r="A13" s="577" t="s">
        <v>144</v>
      </c>
      <c r="B13" s="282" t="str">
        <f>CONCATENATE('Part 2_Optional 3'!$A$6, " - ", 'Part 2_Optional 3'!$B$6)</f>
        <v>O3 - Quality management policy and capability</v>
      </c>
      <c r="C13" s="579" t="str">
        <f>'Part 2_Optional 3'!$M$1</f>
        <v>Incomplete</v>
      </c>
    </row>
    <row r="14" spans="1:4" s="14" customFormat="1" ht="21" hidden="1" customHeight="1">
      <c r="A14" s="577" t="s">
        <v>144</v>
      </c>
      <c r="B14" s="282" t="e">
        <f xml:space="preserve"> CONCATENATE(#REF!, " - ",#REF!)</f>
        <v>#REF!</v>
      </c>
      <c r="C14" s="579" t="e">
        <f>#REF!</f>
        <v>#REF!</v>
      </c>
    </row>
    <row r="15" spans="1:4" s="14" customFormat="1" ht="21" hidden="1" customHeight="1">
      <c r="A15" s="577" t="s">
        <v>145</v>
      </c>
      <c r="B15" s="282" t="str">
        <f>CONCATENATE('Part 3_Q5'!$A$6, " - ", 'Part 3_Q5'!$B$6)</f>
        <v>Q5 - Declaration</v>
      </c>
      <c r="C15" s="579" t="str">
        <f>'Part 3_Q5'!$E$1</f>
        <v>Incomplete</v>
      </c>
    </row>
    <row r="16" spans="1:4" s="14" customFormat="1" ht="35" hidden="1" customHeight="1">
      <c r="A16" s="577" t="s">
        <v>145</v>
      </c>
      <c r="B16" s="17" t="str">
        <f>CONCATENATE('Part 3_Q6 (Experience Qs)'!$A$6, " - ", IF('Project Info'!$K$18="PAS", 'Part 3_Q6 (Experience Qs)'!$B$4,  'Part 3_Q6 (Experience Qs)'!$B$6))</f>
        <v>Q6 - Supplementary/additional questions</v>
      </c>
      <c r="C16" s="579" t="str">
        <f>'Part 3_Q6 (Experience Qs)'!$J$1</f>
        <v>Incomplete</v>
      </c>
    </row>
    <row r="17" spans="1:3" s="14" customFormat="1" ht="21" hidden="1" customHeight="1">
      <c r="A17" s="577" t="s">
        <v>489</v>
      </c>
      <c r="B17" s="17" t="str">
        <f>IF(REF_Split_Price=100, "Part not used", 'Part 4 (Tech Qs)'!$B$6)</f>
        <v>Project delivery questions</v>
      </c>
      <c r="C17" s="579" t="str">
        <f>'Part 4 (Tech Qs)'!$F$1</f>
        <v>Complete</v>
      </c>
    </row>
    <row r="18" spans="1:3" s="14" customFormat="1" ht="21" hidden="1" customHeight="1">
      <c r="A18" s="577" t="s">
        <v>490</v>
      </c>
      <c r="B18" s="17" t="str">
        <f>IF(REF_Int_or_SV="Not applicable", "Part not used", 'Part 5 (Not used)'!$B$6)</f>
        <v>Part not used</v>
      </c>
      <c r="C18" s="580" t="s">
        <v>24</v>
      </c>
    </row>
    <row r="19" spans="1:3" s="14" customFormat="1" ht="21" hidden="1" customHeight="1">
      <c r="A19" s="577"/>
      <c r="B19" s="17" t="s">
        <v>2282</v>
      </c>
      <c r="C19" s="622" t="str">
        <f>'Contact Details'!F1</f>
        <v>Complete</v>
      </c>
    </row>
    <row r="20" spans="1:3" s="14" customFormat="1" ht="21" hidden="1" customHeight="1">
      <c r="A20" s="577"/>
      <c r="B20" s="17" t="s">
        <v>2335</v>
      </c>
      <c r="C20" s="624" t="str">
        <f>'NHF SOR'!I1</f>
        <v>Complete</v>
      </c>
    </row>
    <row r="21" spans="1:3" s="14" customFormat="1" ht="21" hidden="1" customHeight="1">
      <c r="A21" s="577"/>
      <c r="B21" s="17" t="s">
        <v>2336</v>
      </c>
      <c r="C21" s="624" t="str">
        <f>'Void Baskets'!I1</f>
        <v>Complete</v>
      </c>
    </row>
    <row r="22" spans="1:3" s="14" customFormat="1" ht="21" hidden="1" customHeight="1">
      <c r="A22" s="577"/>
      <c r="B22" s="17" t="s">
        <v>2651</v>
      </c>
      <c r="C22" s="640" t="str">
        <f>'Electrics and Rewire Baskets'!I1</f>
        <v>Complete</v>
      </c>
    </row>
    <row r="23" spans="1:3" s="14" customFormat="1" ht="21" hidden="1" customHeight="1">
      <c r="A23" s="577"/>
      <c r="B23" s="17" t="s">
        <v>2652</v>
      </c>
      <c r="C23" s="640" t="str">
        <f>'Decent Homes Baskets'!I1</f>
        <v>Complete</v>
      </c>
    </row>
    <row r="24" spans="1:3" s="14" customFormat="1" ht="21" hidden="1" customHeight="1">
      <c r="A24" s="577"/>
      <c r="B24" s="17" t="s">
        <v>2653</v>
      </c>
      <c r="C24" s="624" t="str">
        <f>Daywork!J1</f>
        <v>Complete</v>
      </c>
    </row>
    <row r="25" spans="1:3" s="14" customFormat="1" ht="21" hidden="1" customHeight="1">
      <c r="A25" s="577"/>
      <c r="B25" s="17" t="s">
        <v>2654</v>
      </c>
      <c r="C25" s="624" t="str">
        <f>OOH!J1</f>
        <v>Complete</v>
      </c>
    </row>
    <row r="26" spans="1:3" s="14" customFormat="1" ht="21" hidden="1" customHeight="1">
      <c r="A26" s="577"/>
      <c r="B26" s="17" t="s">
        <v>2655</v>
      </c>
      <c r="C26" s="624" t="str">
        <f>Additional!G1</f>
        <v>Complete</v>
      </c>
    </row>
    <row r="27" spans="1:3" s="14" customFormat="1" ht="21" hidden="1" customHeight="1">
      <c r="A27" s="577"/>
      <c r="B27" s="17" t="s">
        <v>2294</v>
      </c>
      <c r="C27" s="623" t="s">
        <v>24</v>
      </c>
    </row>
    <row r="28" spans="1:3" hidden="1">
      <c r="B28" s="520"/>
    </row>
    <row r="29" spans="1:3" hidden="1"/>
    <row r="30" spans="1:3" hidden="1"/>
    <row r="31" spans="1:3" hidden="1"/>
    <row r="32" spans="1:3" hidden="1"/>
    <row r="33" hidden="1"/>
    <row r="34" hidden="1"/>
    <row r="35" hidden="1"/>
    <row r="36" hidden="1"/>
    <row r="37" hidden="1"/>
    <row r="79" spans="1:3" ht="20">
      <c r="A79" s="85">
        <f>REF_Job_No</f>
        <v>0</v>
      </c>
      <c r="B79" s="141" t="str">
        <f t="array" ref="B79">CONCATENATE(INDEX(TBL_DATA_00_Doc_Merge[DOC_Address], MATCH(1, (REF_Doc_Lot=TBL_DATA_00_Doc_Merge[Lot])*(REF_Job_No=TBL_DATA_00_Doc_Merge[Job_No]),0)), "
Registered # OC300053 # Regulated by RICS")</f>
        <v>Central Court, Knoll Rise, Orpington, BR6 0JA
Registered # OC300053 # Regulated by RICS</v>
      </c>
      <c r="C79" s="86"/>
    </row>
  </sheetData>
  <sheetProtection algorithmName="SHA-512" hashValue="DzzJFBGi0urBX3j5xLwFPLsZhFZ3A2eIyGW5yt8rxrDefk2lZDe++LUNVLiVwL24tKSu7ClYsWW0/rOZRRuHnQ==" saltValue="C3HyaHLLcUZ+nrF4rP26sw==" spinCount="100000" sheet="1" objects="1" scenarios="1"/>
  <phoneticPr fontId="106" type="noConversion"/>
  <conditionalFormatting sqref="B1:B1048576">
    <cfRule type="beginsWith" dxfId="174" priority="26" operator="beginsWith" text="[">
      <formula>LEFT(B1,LEN("["))="["</formula>
    </cfRule>
    <cfRule type="containsText" dxfId="173" priority="27" operator="containsText" text="Section not">
      <formula>NOT(ISERROR(SEARCH("Section not",B1)))</formula>
    </cfRule>
    <cfRule type="beginsWith" dxfId="172" priority="28" operator="beginsWith" text="Part not">
      <formula>LEFT(B1,LEN("Part not"))="Part not"</formula>
    </cfRule>
  </conditionalFormatting>
  <conditionalFormatting sqref="C1:C1048576">
    <cfRule type="beginsWith" dxfId="171" priority="29" operator="beginsWith" text="Incomplete">
      <formula>LEFT(C1,LEN("Incomplete"))="Incomplete"</formula>
    </cfRule>
    <cfRule type="endsWith" dxfId="170" priority="30" operator="endsWith" text="Complete">
      <formula>RIGHT(C1,LEN("Complete"))="Complete"</formula>
    </cfRule>
  </conditionalFormatting>
  <hyperlinks>
    <hyperlink ref="B5" location="'Part 1_Core 1'!A1" display="'Part 1_Core 1'!A1" xr:uid="{CAEF5E36-12FC-4BCF-B34A-36589181E7EE}"/>
    <hyperlink ref="B6:B9" location="'Part_1_Core 1'!A1" display="Part 1-Section 1'!A1" xr:uid="{24AABAB9-72BD-493B-9307-2854244CE3B4}"/>
    <hyperlink ref="B7:B11" location="'Part_1_Core 1'!A1" display="Part 1-Section 1'!A1" xr:uid="{C7EC059B-A242-49C2-9EEB-EF4396493F9A}"/>
    <hyperlink ref="B8" location="'Part 1_Core 3_D&amp;S'!A1" display="'Part 1_Core 3_D&amp;S'!A1" xr:uid="{18D7D9BC-D2FB-48C2-9ABD-F127917EF16B}"/>
    <hyperlink ref="B6" location="'Part 1_Core 2'!A1" display="'Part 1_Core 2'!A1" xr:uid="{8A3EC61F-E8A0-41AB-BF39-0975DCE81A13}"/>
    <hyperlink ref="B7" location="'Part 1_Core 3'!A1" display="'Part 1_Core 3'!A1" xr:uid="{9B83E5CA-92FE-4370-9631-1C90DDD3C820}"/>
    <hyperlink ref="B9" location="'Part 1_Core 3_Non-Public Sector'!A1" display="'Part 1_Core 3_Non-Public Sector'!A1" xr:uid="{69616370-BF93-4347-9FEC-D0D5564AFE5A}"/>
    <hyperlink ref="B10" location="'Part 1_Core 4'!A1" display="'Part 1_Core 4'!A1" xr:uid="{07B3B4B5-1ABE-451A-ABFE-34DD930EB8A1}"/>
    <hyperlink ref="B12:B14" location="'Part_1_Core 1'!A1" display="Part 1-Section 1'!A1" xr:uid="{B1102D31-4EA9-4E98-BD55-FA78817BEF18}"/>
    <hyperlink ref="B11" location="'Part 2_Optional 1'!A1" display="'Part 2_Optional 1'!A1" xr:uid="{596FDEC3-7EC1-4C00-ADBA-F3ADF85D8574}"/>
    <hyperlink ref="B12" location="'Part 2_Optional 2'!A1" display="'Part 2_Optional 2'!A1" xr:uid="{137621F0-B4A2-42B0-BA43-295EF06F4B03}"/>
    <hyperlink ref="B13" location="'Part 2_Optional 3'!A1" display="'Part 2_Optional 3'!A1" xr:uid="{EF29021C-D1C7-4CF3-AFF0-C9108BD634C5}"/>
    <hyperlink ref="B14" location="'Part 2_Optional 4'!A1" display="'Part 2_Optional 4'!A1" xr:uid="{1B6EC725-E2E9-4CAE-86DA-4167C8FB21EB}"/>
    <hyperlink ref="B16" location="'Part 3_Section 6'!A1" display="'Part 3_Section 6'!A1" xr:uid="{83A2F6DB-35A6-4966-8B72-813A3456938B}"/>
    <hyperlink ref="B15" location="'Part 3_Q5'!A1" display="'Part 3_Q5'!A1" xr:uid="{BFEBF121-0E5B-4C56-8B61-370226B2CD87}"/>
    <hyperlink ref="B17" location="'Part 4'!A1" display="'Part 4'!A1" xr:uid="{6F643BD5-15DD-4757-B927-9DA725D41AE6}"/>
    <hyperlink ref="B18" location="'Part 5'!A1" display="'Part 5'!A1" xr:uid="{7E3D00AF-ED6E-4180-9C43-44BD8EFDF4C2}"/>
    <hyperlink ref="B27" location="Summary!A1" display="Summary" xr:uid="{0ED62B54-164D-4C5F-A926-0FED8E95224F}"/>
    <hyperlink ref="B21" location="'Void Baskets'!A1" display="Section 2 - Void Basket Rates" xr:uid="{F095A4B6-4AD1-4073-9E96-4C53602B2687}"/>
    <hyperlink ref="B25" location="OOH!A1" display="Section 6 - Out of Hours Rate" xr:uid="{10A08CAC-1439-4E38-AEF4-EEECF1013284}"/>
    <hyperlink ref="B16" location="'Part 3_Q6'!A1" display="'Part 3_Q6'!A1" xr:uid="{D921D8AC-63E5-4BC6-AC8F-987744B26584}"/>
    <hyperlink ref="B20" location="'NHF SOR'!A1" display="Section 1 - NHF Schedule of Rates Adjustments" xr:uid="{2B4B10E4-B277-46F7-9A09-15E951CE0448}"/>
    <hyperlink ref="B24" location="Daywork!A1" display="Section 5 - Daywork Rates" xr:uid="{6FA33989-DA29-4662-A4F2-194D803D3760}"/>
    <hyperlink ref="B26" location="Additional!A1" display="Section 7 - Additional Rates" xr:uid="{BCA181FE-C34A-49A8-9992-C73DBDC7F5D3}"/>
    <hyperlink ref="B22" location="'Electrics and Rewire Baskets'!A1" display="Section 3 - Electrics and Rewire Basket Rates" xr:uid="{E3E4484D-6469-4160-8681-40EC9D08E718}"/>
    <hyperlink ref="B23" location="'Decent Homes Baskets'!A1" display="Section 4 - Decent Homes Basket Rates" xr:uid="{CE8BF82B-85D3-4157-A2B7-99FF57BF9CA3}"/>
    <hyperlink ref="B19" location="'Contact Details'!A1" display="Contact Details" xr:uid="{98CBB6F6-A044-429E-8054-FD4F7AADCA1C}"/>
  </hyperlinks>
  <pageMargins left="0.78740157480314965" right="0.78740157480314965" top="1.7716535433070868" bottom="0.39370078740157483" header="0.39370078740157483" footer="0"/>
  <pageSetup paperSize="9" orientation="portrait" horizontalDpi="4294967293" verticalDpi="4294967293" r:id="rId1"/>
  <headerFooter>
    <oddHeader xml:space="preserve">&amp;L
&amp;G&amp;R&amp;16&amp;K0074C5
</oddHeader>
  </headerFooter>
  <legacyDrawingHF r:id="rId2"/>
  <tableParts count="1">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F346E-2E08-4FFC-BE88-D18EE1D1E7A9}">
  <sheetPr codeName="Sheet49">
    <tabColor rgb="FFFF0000"/>
  </sheetPr>
  <dimension ref="A1:O63"/>
  <sheetViews>
    <sheetView showGridLines="0" topLeftCell="M1" zoomScaleNormal="100" workbookViewId="0">
      <selection activeCell="L1" sqref="A1:L1048576"/>
    </sheetView>
  </sheetViews>
  <sheetFormatPr defaultColWidth="9" defaultRowHeight="12.5"/>
  <cols>
    <col min="1" max="1" width="9.36328125" style="37" hidden="1" customWidth="1"/>
    <col min="2" max="2" width="103.08984375" style="37" hidden="1" customWidth="1"/>
    <col min="3" max="3" width="13.54296875" style="150" hidden="1" customWidth="1"/>
    <col min="4" max="4" width="11.36328125" style="37" hidden="1" customWidth="1"/>
    <col min="5" max="5" width="10.54296875" style="37" hidden="1" customWidth="1"/>
    <col min="6" max="6" width="9.453125" style="37" hidden="1" customWidth="1"/>
    <col min="7" max="7" width="12.6328125" style="37" hidden="1" customWidth="1"/>
    <col min="8" max="8" width="7.6328125" style="37" hidden="1" customWidth="1"/>
    <col min="9" max="9" width="8.54296875" style="37" hidden="1" customWidth="1"/>
    <col min="10" max="10" width="11.36328125" style="150" hidden="1" customWidth="1"/>
    <col min="11" max="12" width="9.36328125" style="37" hidden="1" customWidth="1"/>
    <col min="13" max="13" width="9.36328125" style="37" customWidth="1"/>
    <col min="14" max="15" width="9.08984375" style="37" customWidth="1"/>
    <col min="16" max="16384" width="9" style="37"/>
  </cols>
  <sheetData>
    <row r="1" spans="1:15" s="94"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51"/>
      <c r="J1" s="352" t="str">
        <f>IF(REF_Alternative="Yes", IF(REF_Alternative_Response="Yes", "N/A", IF(SUM(COUNTIF(TBL_Q_05_PAS_C3_A[Check], "Add"), COUNTIF(TBL_Q_05_PAS_C3_B[Check], "Add"), COUNTIF(TBL_Q_05_PAS_C3_C[Check], "Add"), COUNTIF(TBL_Q_05_PAS_C3_D[Check], "Add"))&gt;0, "Incomplete", "Complete")), IF(SUM(COUNTIF(TBL_Q_05_PAS_C3_A[Check], "Add"), COUNTIF(TBL_Q_05_PAS_C3_B[Check], "Add"), COUNTIF(TBL_Q_05_PAS_C3_C[Check], "Add"), COUNTIF(TBL_Q_05_PAS_C3_D[Check], "Add"))&gt;0, "Incomplete", "Complete"))</f>
        <v>Incomplete</v>
      </c>
    </row>
    <row r="2" spans="1:15" s="94" customFormat="1" ht="12.5" customHeight="1">
      <c r="A2" s="54" t="str">
        <f t="array" ref="A2">CONCATENATE(INDEX(TBL_DATA_00_Doc_Merge[Supplier_Type], MATCH(1, (REF_Doc_Lot=TBL_DATA_00_Doc_Merge[Lot])*(REF_Job_No=TBL_DATA_00_Doc_Merge[Job_No]),0)), ":")</f>
        <v>Supplier:</v>
      </c>
      <c r="B2" s="54" t="str">
        <f>Response!$A$2</f>
        <v>Purdy Contracts Ltd</v>
      </c>
      <c r="C2" s="351"/>
      <c r="J2" s="351"/>
    </row>
    <row r="3" spans="1:15" s="94" customFormat="1" ht="12.5" customHeight="1">
      <c r="A3" s="345"/>
      <c r="B3" s="345"/>
      <c r="C3" s="351"/>
      <c r="J3" s="351"/>
    </row>
    <row r="4" spans="1:15" s="3" customFormat="1" ht="17.5">
      <c r="A4" s="88" t="s">
        <v>143</v>
      </c>
      <c r="B4" s="88" t="s">
        <v>1302</v>
      </c>
      <c r="C4" s="36"/>
      <c r="J4" s="36"/>
    </row>
    <row r="5" spans="1:15" s="3" customFormat="1" ht="14">
      <c r="A5" s="52"/>
      <c r="B5" s="52"/>
      <c r="C5" s="36"/>
      <c r="J5" s="36"/>
    </row>
    <row r="6" spans="1:15" s="56" customFormat="1" ht="15.5">
      <c r="A6" s="279" t="s">
        <v>1301</v>
      </c>
      <c r="B6" s="279" t="str">
        <f>IF(REF_Alternative="Yes", IF(REF_Alternative_Response="Yes", "Section not applicable", IF('Project Info'!$K$75="No", "Delete this tab", "Public Sector procurement")), IF('Project Info'!$K$75="No", "Delete this tab", "Public Sector procurement"))</f>
        <v>Public Sector procurement</v>
      </c>
      <c r="C6" s="181"/>
      <c r="D6" s="57"/>
      <c r="J6" s="55"/>
    </row>
    <row r="7" spans="1:15" s="56" customFormat="1" ht="15.5">
      <c r="A7" s="31"/>
      <c r="B7" s="31"/>
      <c r="C7" s="20"/>
      <c r="D7" s="10"/>
      <c r="E7" s="10"/>
      <c r="F7" s="10"/>
      <c r="G7" s="10"/>
      <c r="H7" s="10"/>
      <c r="I7" s="10"/>
      <c r="J7" s="20"/>
    </row>
    <row r="8" spans="1:15" s="56" customFormat="1" ht="15.5">
      <c r="A8" s="49" t="s">
        <v>1342</v>
      </c>
      <c r="B8" s="49" t="s">
        <v>2228</v>
      </c>
      <c r="C8" s="20"/>
      <c r="D8" s="10"/>
      <c r="E8" s="10"/>
      <c r="F8" s="10"/>
      <c r="G8" s="10"/>
      <c r="H8" s="10"/>
      <c r="I8" s="10"/>
      <c r="J8" s="20"/>
    </row>
    <row r="9" spans="1:15" s="3" customFormat="1" ht="14">
      <c r="A9" s="240" t="s">
        <v>585</v>
      </c>
      <c r="B9" s="187" t="s">
        <v>146</v>
      </c>
      <c r="C9" s="183" t="s">
        <v>844</v>
      </c>
      <c r="D9" s="156" t="s">
        <v>714</v>
      </c>
      <c r="E9" s="156" t="s">
        <v>90</v>
      </c>
      <c r="F9" s="115" t="s">
        <v>324</v>
      </c>
      <c r="G9" s="156" t="s">
        <v>1351</v>
      </c>
      <c r="H9" s="156" t="s">
        <v>88</v>
      </c>
      <c r="I9" s="156" t="s">
        <v>487</v>
      </c>
      <c r="J9" s="10"/>
      <c r="K9" s="10"/>
      <c r="L9" s="10"/>
      <c r="M9" s="10"/>
      <c r="N9" s="10"/>
    </row>
    <row r="10" spans="1:15" s="3" customFormat="1" ht="37.5">
      <c r="A10" s="175" t="s">
        <v>1342</v>
      </c>
      <c r="B10" s="180" t="s">
        <v>2229</v>
      </c>
      <c r="C10" s="182"/>
      <c r="D10" s="277" t="s">
        <v>1342</v>
      </c>
      <c r="E10" s="140" t="s">
        <v>837</v>
      </c>
      <c r="F10" s="140" t="s">
        <v>467</v>
      </c>
      <c r="G10" s="230" t="s">
        <v>467</v>
      </c>
      <c r="H10" s="143" t="str">
        <f>IF(AND(TBL_Q_05_PAS_C3_A[[#This Row],[Include?]]="Yes", TBL_Q_05_PAS_C3_A[[#This Row],[Response?]]="Yes"), "", "Shade")</f>
        <v/>
      </c>
      <c r="I10" s="143" t="str">
        <f>IF(TBL_Q_05_PAS_C3_A[Yes or No?]&lt;&gt;"", "Done", "Add")</f>
        <v>Add</v>
      </c>
      <c r="J10" s="10"/>
      <c r="K10" s="10"/>
      <c r="L10" s="10"/>
      <c r="M10" s="10"/>
      <c r="N10" s="10"/>
    </row>
    <row r="11" spans="1:15" s="3" customFormat="1" ht="14">
      <c r="A11" s="31"/>
      <c r="B11" s="31"/>
      <c r="C11" s="20"/>
      <c r="D11" s="10"/>
      <c r="E11" s="10"/>
      <c r="F11" s="10"/>
      <c r="G11" s="10"/>
      <c r="H11" s="10"/>
      <c r="I11" s="10"/>
      <c r="J11" s="20"/>
      <c r="K11" s="10"/>
      <c r="L11" s="10"/>
      <c r="M11" s="10"/>
      <c r="N11" s="10"/>
      <c r="O11" s="10"/>
    </row>
    <row r="12" spans="1:15" s="3" customFormat="1" ht="14">
      <c r="A12" s="61" t="s">
        <v>1104</v>
      </c>
      <c r="B12" s="113" t="s">
        <v>1124</v>
      </c>
      <c r="C12" s="20"/>
      <c r="D12" s="10"/>
      <c r="E12" s="10"/>
      <c r="F12" s="10"/>
      <c r="G12" s="10"/>
      <c r="H12" s="10"/>
      <c r="I12" s="10"/>
      <c r="J12" s="20"/>
      <c r="K12" s="10"/>
      <c r="L12" s="10"/>
      <c r="M12" s="10"/>
      <c r="N12" s="10"/>
      <c r="O12" s="10"/>
    </row>
    <row r="13" spans="1:15" s="3" customFormat="1" ht="28.25" customHeight="1">
      <c r="A13" s="58"/>
      <c r="B13" s="696" t="s">
        <v>1339</v>
      </c>
      <c r="C13" s="696"/>
      <c r="D13" s="10"/>
      <c r="E13" s="10"/>
      <c r="F13" s="10"/>
      <c r="G13" s="10"/>
      <c r="H13" s="10"/>
      <c r="I13" s="10"/>
      <c r="J13" s="20"/>
      <c r="K13" s="10"/>
      <c r="L13" s="10"/>
      <c r="M13" s="10"/>
      <c r="N13" s="10"/>
      <c r="O13" s="10"/>
    </row>
    <row r="14" spans="1:15" s="3" customFormat="1" ht="25">
      <c r="A14" s="58"/>
      <c r="B14" s="233" t="s">
        <v>140</v>
      </c>
      <c r="C14" s="58"/>
      <c r="D14" s="10"/>
      <c r="E14" s="10"/>
      <c r="F14" s="10"/>
      <c r="G14" s="10"/>
      <c r="H14" s="10"/>
      <c r="I14" s="10"/>
      <c r="J14" s="20"/>
      <c r="K14" s="10"/>
      <c r="L14" s="10"/>
      <c r="M14" s="10"/>
      <c r="N14" s="10"/>
      <c r="O14" s="10"/>
    </row>
    <row r="15" spans="1:15" s="3" customFormat="1" ht="14">
      <c r="A15" s="58"/>
      <c r="B15" s="58" t="s">
        <v>1340</v>
      </c>
      <c r="C15" s="58"/>
      <c r="D15" s="10"/>
      <c r="E15" s="10"/>
      <c r="F15" s="10"/>
      <c r="G15" s="10"/>
      <c r="H15" s="10"/>
      <c r="I15" s="10"/>
      <c r="J15" s="20"/>
      <c r="K15" s="10"/>
      <c r="L15" s="10"/>
      <c r="M15" s="10"/>
      <c r="N15" s="10"/>
      <c r="O15" s="10"/>
    </row>
    <row r="16" spans="1:15" s="3" customFormat="1" ht="14">
      <c r="A16" s="58"/>
      <c r="B16" s="58"/>
      <c r="C16" s="58"/>
      <c r="D16" s="10"/>
      <c r="E16" s="10"/>
      <c r="F16" s="10"/>
      <c r="G16" s="10"/>
      <c r="H16" s="10"/>
      <c r="I16" s="10"/>
      <c r="J16" s="20"/>
      <c r="K16" s="10"/>
      <c r="L16" s="10"/>
      <c r="M16" s="10"/>
      <c r="N16" s="10"/>
      <c r="O16" s="10"/>
    </row>
    <row r="17" spans="1:15" s="3" customFormat="1" ht="44.75" customHeight="1">
      <c r="A17" s="58"/>
      <c r="B17" s="696" t="s">
        <v>1341</v>
      </c>
      <c r="C17" s="696"/>
      <c r="D17" s="10"/>
      <c r="E17" s="10"/>
      <c r="F17" s="10"/>
      <c r="G17" s="10"/>
      <c r="H17" s="10"/>
      <c r="I17" s="10"/>
      <c r="J17" s="20"/>
      <c r="K17" s="10"/>
      <c r="L17" s="10"/>
      <c r="M17" s="10"/>
      <c r="N17" s="10"/>
      <c r="O17" s="10"/>
    </row>
    <row r="18" spans="1:15" s="3" customFormat="1" ht="14">
      <c r="A18" s="115" t="s">
        <v>585</v>
      </c>
      <c r="B18" s="184" t="s">
        <v>146</v>
      </c>
      <c r="C18" s="183" t="s">
        <v>19</v>
      </c>
      <c r="D18" s="156" t="s">
        <v>714</v>
      </c>
      <c r="E18" s="156" t="s">
        <v>90</v>
      </c>
      <c r="F18" s="115" t="s">
        <v>324</v>
      </c>
      <c r="G18" s="156" t="s">
        <v>1351</v>
      </c>
      <c r="H18" s="156" t="s">
        <v>88</v>
      </c>
      <c r="I18" s="156" t="s">
        <v>487</v>
      </c>
      <c r="J18" s="147"/>
      <c r="K18" s="10"/>
      <c r="L18" s="10"/>
      <c r="M18" s="10"/>
      <c r="N18" s="10"/>
    </row>
    <row r="19" spans="1:15" s="3" customFormat="1" ht="14">
      <c r="A19" s="50" t="s">
        <v>1114</v>
      </c>
      <c r="B19" s="50" t="s">
        <v>1125</v>
      </c>
      <c r="C19" s="185"/>
      <c r="D19" s="154" t="s">
        <v>1114</v>
      </c>
      <c r="E19" s="219" t="s">
        <v>838</v>
      </c>
      <c r="F19" s="140" t="s">
        <v>467</v>
      </c>
      <c r="G19" s="154" t="str">
        <f>IF($C$10="Yes", "No", "Yes")</f>
        <v>Yes</v>
      </c>
      <c r="H19" s="143" t="str">
        <f>IF(AND(TBL_Q_05_PAS_C3_B[[#This Row],[Include?]]="Yes", TBL_Q_05_PAS_C3_B[[#This Row],[Response?]]="Yes"), "", "Shade")</f>
        <v/>
      </c>
      <c r="I19" s="143" t="str">
        <f>IF(TBL_Q_05_PAS_C3_B[[#This Row],[Shade]]="Shade", "", IF(TBL_Q_05_PAS_C3_B[[#This Row],[Response]]&lt;&gt;"", "Done", "Add"))</f>
        <v>Add</v>
      </c>
      <c r="J19" s="147"/>
      <c r="K19" s="46"/>
      <c r="L19" s="46"/>
      <c r="M19" s="46"/>
      <c r="N19" s="46"/>
    </row>
    <row r="20" spans="1:15" s="3" customFormat="1" ht="14">
      <c r="A20" s="50" t="s">
        <v>1115</v>
      </c>
      <c r="B20" s="50" t="s">
        <v>1126</v>
      </c>
      <c r="C20" s="185"/>
      <c r="D20" s="154" t="s">
        <v>1115</v>
      </c>
      <c r="E20" s="219" t="s">
        <v>839</v>
      </c>
      <c r="F20" s="140" t="s">
        <v>467</v>
      </c>
      <c r="G20" s="154" t="str">
        <f t="shared" ref="G20:G26" si="0">IF($C$10="Yes", "No", "Yes")</f>
        <v>Yes</v>
      </c>
      <c r="H20" s="143" t="str">
        <f>IF(AND(TBL_Q_05_PAS_C3_B[[#This Row],[Include?]]="Yes", TBL_Q_05_PAS_C3_B[[#This Row],[Response?]]="Yes"), "", "Shade")</f>
        <v/>
      </c>
      <c r="I20" s="143" t="str">
        <f>IF(TBL_Q_05_PAS_C3_B[[#This Row],[Shade]]="Shade", "", IF(TBL_Q_05_PAS_C3_B[[#This Row],[Response]]&lt;&gt;"", "Done", "Add"))</f>
        <v>Add</v>
      </c>
      <c r="J20" s="147"/>
      <c r="K20" s="46"/>
      <c r="L20" s="46"/>
      <c r="M20" s="46"/>
      <c r="N20" s="46"/>
    </row>
    <row r="21" spans="1:15" s="3" customFormat="1" ht="14">
      <c r="A21" s="50" t="s">
        <v>1116</v>
      </c>
      <c r="B21" s="50" t="s">
        <v>1127</v>
      </c>
      <c r="C21" s="185"/>
      <c r="D21" s="154" t="s">
        <v>1116</v>
      </c>
      <c r="E21" s="219" t="s">
        <v>840</v>
      </c>
      <c r="F21" s="140" t="s">
        <v>467</v>
      </c>
      <c r="G21" s="154" t="str">
        <f t="shared" si="0"/>
        <v>Yes</v>
      </c>
      <c r="H21" s="143" t="str">
        <f>IF(AND(TBL_Q_05_PAS_C3_B[[#This Row],[Include?]]="Yes", TBL_Q_05_PAS_C3_B[[#This Row],[Response?]]="Yes"), "", "Shade")</f>
        <v/>
      </c>
      <c r="I21" s="143" t="str">
        <f>IF(TBL_Q_05_PAS_C3_B[[#This Row],[Shade]]="Shade", "", IF(TBL_Q_05_PAS_C3_B[[#This Row],[Response]]&lt;&gt;"", "Done", "Add"))</f>
        <v>Add</v>
      </c>
      <c r="J21" s="147"/>
      <c r="K21" s="46"/>
      <c r="L21" s="46"/>
      <c r="M21" s="46"/>
      <c r="N21" s="46"/>
    </row>
    <row r="22" spans="1:15" s="3" customFormat="1" ht="14">
      <c r="A22" s="50" t="s">
        <v>1117</v>
      </c>
      <c r="B22" s="50" t="s">
        <v>1128</v>
      </c>
      <c r="C22" s="185"/>
      <c r="D22" s="154" t="s">
        <v>1117</v>
      </c>
      <c r="E22" s="219" t="s">
        <v>841</v>
      </c>
      <c r="F22" s="140" t="s">
        <v>467</v>
      </c>
      <c r="G22" s="154" t="str">
        <f t="shared" si="0"/>
        <v>Yes</v>
      </c>
      <c r="H22" s="143" t="str">
        <f>IF(AND(TBL_Q_05_PAS_C3_B[[#This Row],[Include?]]="Yes", TBL_Q_05_PAS_C3_B[[#This Row],[Response?]]="Yes"), "", "Shade")</f>
        <v/>
      </c>
      <c r="I22" s="143" t="str">
        <f>IF(TBL_Q_05_PAS_C3_B[[#This Row],[Shade]]="Shade", "", IF(TBL_Q_05_PAS_C3_B[[#This Row],[Response]]&lt;&gt;"", "Done", "Add"))</f>
        <v>Add</v>
      </c>
      <c r="J22" s="147"/>
      <c r="K22" s="46"/>
      <c r="L22" s="46"/>
      <c r="M22" s="46"/>
      <c r="N22" s="46"/>
    </row>
    <row r="23" spans="1:15" s="3" customFormat="1" ht="14">
      <c r="A23" s="50" t="s">
        <v>1118</v>
      </c>
      <c r="B23" s="50" t="s">
        <v>1129</v>
      </c>
      <c r="C23" s="185"/>
      <c r="D23" s="154" t="s">
        <v>1118</v>
      </c>
      <c r="E23" s="219" t="s">
        <v>1105</v>
      </c>
      <c r="F23" s="140" t="s">
        <v>467</v>
      </c>
      <c r="G23" s="154" t="str">
        <f t="shared" si="0"/>
        <v>Yes</v>
      </c>
      <c r="H23" s="143" t="str">
        <f>IF(AND(TBL_Q_05_PAS_C3_B[[#This Row],[Include?]]="Yes", TBL_Q_05_PAS_C3_B[[#This Row],[Response?]]="Yes"), "", "Shade")</f>
        <v/>
      </c>
      <c r="I23" s="143" t="str">
        <f>IF(TBL_Q_05_PAS_C3_B[[#This Row],[Shade]]="Shade", "", IF(TBL_Q_05_PAS_C3_B[[#This Row],[Response]]&lt;&gt;"", "Done", "Add"))</f>
        <v>Add</v>
      </c>
      <c r="J23" s="147"/>
      <c r="K23" s="46"/>
      <c r="L23" s="46"/>
      <c r="M23" s="46"/>
      <c r="N23" s="46"/>
    </row>
    <row r="24" spans="1:15" s="3" customFormat="1" ht="14">
      <c r="A24" s="50" t="s">
        <v>1119</v>
      </c>
      <c r="B24" s="50" t="s">
        <v>1130</v>
      </c>
      <c r="C24" s="185"/>
      <c r="D24" s="154" t="s">
        <v>1119</v>
      </c>
      <c r="E24" s="219" t="s">
        <v>1106</v>
      </c>
      <c r="F24" s="140" t="s">
        <v>467</v>
      </c>
      <c r="G24" s="154" t="str">
        <f t="shared" si="0"/>
        <v>Yes</v>
      </c>
      <c r="H24" s="143" t="str">
        <f>IF(AND(TBL_Q_05_PAS_C3_B[[#This Row],[Include?]]="Yes", TBL_Q_05_PAS_C3_B[[#This Row],[Response?]]="Yes"), "", "Shade")</f>
        <v/>
      </c>
      <c r="I24" s="143" t="str">
        <f>IF(TBL_Q_05_PAS_C3_B[[#This Row],[Shade]]="Shade", "", IF(TBL_Q_05_PAS_C3_B[[#This Row],[Response]]&lt;&gt;"", "Done", "Add"))</f>
        <v>Add</v>
      </c>
      <c r="J24" s="147"/>
      <c r="K24" s="46"/>
      <c r="L24" s="46"/>
      <c r="M24" s="46"/>
      <c r="N24" s="46"/>
    </row>
    <row r="25" spans="1:15" s="3" customFormat="1" ht="25">
      <c r="A25" s="50" t="s">
        <v>1120</v>
      </c>
      <c r="B25" s="50" t="s">
        <v>1131</v>
      </c>
      <c r="C25" s="185"/>
      <c r="D25" s="154" t="s">
        <v>1120</v>
      </c>
      <c r="E25" s="219" t="s">
        <v>1107</v>
      </c>
      <c r="F25" s="140" t="s">
        <v>467</v>
      </c>
      <c r="G25" s="154" t="str">
        <f t="shared" si="0"/>
        <v>Yes</v>
      </c>
      <c r="H25" s="143" t="str">
        <f>IF(AND(TBL_Q_05_PAS_C3_B[[#This Row],[Include?]]="Yes", TBL_Q_05_PAS_C3_B[[#This Row],[Response?]]="Yes"), "", "Shade")</f>
        <v/>
      </c>
      <c r="I25" s="143" t="str">
        <f>IF(TBL_Q_05_PAS_C3_B[[#This Row],[Shade]]="Shade", "", IF(TBL_Q_05_PAS_C3_B[[#This Row],[Response]]&lt;&gt;"", "Done", "Add"))</f>
        <v>Add</v>
      </c>
      <c r="J25" s="147"/>
      <c r="K25" s="46"/>
      <c r="L25" s="46"/>
      <c r="M25" s="46"/>
      <c r="N25" s="46"/>
    </row>
    <row r="26" spans="1:15" s="3" customFormat="1" ht="25">
      <c r="A26" s="50" t="s">
        <v>1121</v>
      </c>
      <c r="B26" s="50" t="s">
        <v>1132</v>
      </c>
      <c r="C26" s="185"/>
      <c r="D26" s="154" t="s">
        <v>1121</v>
      </c>
      <c r="E26" s="219" t="s">
        <v>1108</v>
      </c>
      <c r="F26" s="140" t="s">
        <v>467</v>
      </c>
      <c r="G26" s="154" t="str">
        <f t="shared" si="0"/>
        <v>Yes</v>
      </c>
      <c r="H26" s="143" t="str">
        <f>IF(AND(TBL_Q_05_PAS_C3_B[[#This Row],[Include?]]="Yes", TBL_Q_05_PAS_C3_B[[#This Row],[Response?]]="Yes"), "", "Shade")</f>
        <v/>
      </c>
      <c r="I26" s="143" t="str">
        <f>IF(TBL_Q_05_PAS_C3_B[[#This Row],[Shade]]="Shade", "", IF(TBL_Q_05_PAS_C3_B[[#This Row],[Response]]&lt;&gt;"", "Done", "Add"))</f>
        <v>Add</v>
      </c>
      <c r="J26" s="147"/>
      <c r="K26" s="46"/>
      <c r="L26" s="46"/>
      <c r="M26" s="46"/>
      <c r="N26" s="46"/>
    </row>
    <row r="27" spans="1:15" s="3" customFormat="1" ht="125">
      <c r="A27" s="50" t="s">
        <v>1122</v>
      </c>
      <c r="B27" s="50" t="s">
        <v>1133</v>
      </c>
      <c r="C27" s="185"/>
      <c r="D27" s="154" t="s">
        <v>1122</v>
      </c>
      <c r="E27" s="219" t="s">
        <v>1109</v>
      </c>
      <c r="F27" s="140" t="s">
        <v>467</v>
      </c>
      <c r="G27" s="236" t="str">
        <f>IF($C$10="Yes", "No", IF(COUNTIF($C$19:$C$26, "Yes")&gt;0, "Yes", "No"))</f>
        <v>No</v>
      </c>
      <c r="H27" s="143" t="str">
        <f>IF(AND(TBL_Q_05_PAS_C3_B[[#This Row],[Include?]]="Yes", TBL_Q_05_PAS_C3_B[[#This Row],[Response?]]="Yes"), "", "Shade")</f>
        <v>Shade</v>
      </c>
      <c r="I27" s="143" t="str">
        <f>IF(TBL_Q_05_PAS_C3_B[[#This Row],[Shade]]="Shade", "", IF(TBL_Q_05_PAS_C3_B[[#This Row],[Response]]&lt;&gt;"", "Done", "Add"))</f>
        <v/>
      </c>
      <c r="J27" s="147"/>
      <c r="K27" s="46"/>
      <c r="L27" s="46"/>
      <c r="M27" s="46"/>
      <c r="N27" s="46"/>
    </row>
    <row r="28" spans="1:15" s="3" customFormat="1" ht="37.5">
      <c r="A28" s="50" t="s">
        <v>1123</v>
      </c>
      <c r="B28" s="50" t="s">
        <v>1134</v>
      </c>
      <c r="C28" s="185"/>
      <c r="D28" s="154" t="s">
        <v>1123</v>
      </c>
      <c r="E28" s="219" t="s">
        <v>1110</v>
      </c>
      <c r="F28" s="140" t="s">
        <v>467</v>
      </c>
      <c r="G28" s="236" t="str">
        <f>IF($C$10="Yes", "No", IF(COUNTIF($C$19:$C$26, "Yes")&gt;0, "Yes", "No"))</f>
        <v>No</v>
      </c>
      <c r="H28" s="143" t="str">
        <f>IF(AND(TBL_Q_05_PAS_C3_B[[#This Row],[Include?]]="Yes", TBL_Q_05_PAS_C3_B[[#This Row],[Response?]]="Yes"), "", "Shade")</f>
        <v>Shade</v>
      </c>
      <c r="I28" s="143" t="str">
        <f>IF(TBL_Q_05_PAS_C3_B[[#This Row],[Shade]]="Shade", "", IF(TBL_Q_05_PAS_C3_B[[#This Row],[Response]]&lt;&gt;"", "Done", "Add"))</f>
        <v/>
      </c>
      <c r="J28" s="147"/>
      <c r="K28" s="46"/>
      <c r="L28" s="46"/>
      <c r="M28" s="46"/>
      <c r="N28" s="46"/>
    </row>
    <row r="29" spans="1:15" s="3" customFormat="1" ht="14.75" customHeight="1">
      <c r="A29" s="52"/>
      <c r="B29" s="52"/>
      <c r="C29" s="36"/>
      <c r="J29" s="36"/>
    </row>
    <row r="30" spans="1:15" ht="13">
      <c r="A30" s="113" t="s">
        <v>1135</v>
      </c>
      <c r="B30" s="113" t="s">
        <v>1136</v>
      </c>
    </row>
    <row r="31" spans="1:15" ht="29" customHeight="1">
      <c r="B31" s="696" t="s">
        <v>1343</v>
      </c>
      <c r="C31" s="696"/>
    </row>
    <row r="32" spans="1:15" ht="17" customHeight="1">
      <c r="B32" s="697" t="s">
        <v>140</v>
      </c>
      <c r="C32" s="697"/>
    </row>
    <row r="33" spans="1:10">
      <c r="B33" s="58" t="s">
        <v>1340</v>
      </c>
    </row>
    <row r="34" spans="1:10" ht="13">
      <c r="A34" s="115" t="s">
        <v>585</v>
      </c>
      <c r="B34" s="184" t="s">
        <v>146</v>
      </c>
      <c r="C34" s="183" t="s">
        <v>19</v>
      </c>
      <c r="D34" s="156" t="s">
        <v>714</v>
      </c>
      <c r="E34" s="156" t="s">
        <v>90</v>
      </c>
      <c r="F34" s="115" t="s">
        <v>324</v>
      </c>
      <c r="G34" s="156" t="s">
        <v>1351</v>
      </c>
      <c r="H34" s="156" t="s">
        <v>88</v>
      </c>
      <c r="I34" s="156" t="s">
        <v>487</v>
      </c>
      <c r="J34" s="37"/>
    </row>
    <row r="35" spans="1:10" ht="25">
      <c r="A35" s="50" t="s">
        <v>1147</v>
      </c>
      <c r="B35" s="50" t="s">
        <v>1151</v>
      </c>
      <c r="C35" s="185"/>
      <c r="D35" s="154" t="s">
        <v>1147</v>
      </c>
      <c r="E35" s="219" t="s">
        <v>1111</v>
      </c>
      <c r="F35" s="140" t="s">
        <v>467</v>
      </c>
      <c r="G35" s="154" t="str">
        <f>IF($C$10="Yes", "No", "Yes")</f>
        <v>Yes</v>
      </c>
      <c r="H35" s="143" t="str">
        <f>IF(AND(TBL_Q_05_PAS_C3_C[[#This Row],[Include?]]="Yes", TBL_Q_05_PAS_C3_C[[#This Row],[Response?]]="Yes"), "", "Shade")</f>
        <v/>
      </c>
      <c r="I35" s="143" t="str">
        <f>IF(TBL_Q_05_PAS_C3_C[[#This Row],[Shade]]="Shade", "", IF(TBL_Q_05_PAS_C3_C[[#This Row],[Response]]&lt;&gt;"", "Done", "Add"))</f>
        <v>Add</v>
      </c>
      <c r="J35" s="37"/>
    </row>
    <row r="36" spans="1:10" ht="25">
      <c r="A36" s="50" t="s">
        <v>1148</v>
      </c>
      <c r="B36" s="50" t="s">
        <v>1152</v>
      </c>
      <c r="C36" s="185"/>
      <c r="D36" s="154" t="s">
        <v>1148</v>
      </c>
      <c r="E36" s="219" t="s">
        <v>1112</v>
      </c>
      <c r="F36" s="140" t="s">
        <v>467</v>
      </c>
      <c r="G36" s="236" t="str">
        <f>IF($C$10="Yes", "No", IF($C$35="No", "Yes", "No"))</f>
        <v>No</v>
      </c>
      <c r="H36" s="143" t="str">
        <f>IF(AND(TBL_Q_05_PAS_C3_C[[#This Row],[Include?]]="Yes", TBL_Q_05_PAS_C3_C[[#This Row],[Response?]]="Yes"), "", "Shade")</f>
        <v>Shade</v>
      </c>
      <c r="I36" s="143" t="str">
        <f>IF(TBL_Q_05_PAS_C3_C[[#This Row],[Shade]]="Shade", "", IF(TBL_Q_05_PAS_C3_C[[#This Row],[Response]]&lt;&gt;"", "Done", "Add"))</f>
        <v/>
      </c>
      <c r="J36" s="37"/>
    </row>
    <row r="37" spans="1:10">
      <c r="A37" s="39" t="s">
        <v>1149</v>
      </c>
      <c r="B37" s="216" t="s">
        <v>1153</v>
      </c>
      <c r="C37" s="235"/>
      <c r="D37" s="154" t="s">
        <v>1149</v>
      </c>
      <c r="E37" s="219" t="s">
        <v>1113</v>
      </c>
      <c r="F37" s="231"/>
      <c r="G37" s="236"/>
      <c r="H37" s="234"/>
      <c r="I37" s="234"/>
      <c r="J37" s="37"/>
    </row>
    <row r="38" spans="1:10" ht="25">
      <c r="A38" s="60"/>
      <c r="B38" s="50" t="s">
        <v>1186</v>
      </c>
      <c r="C38" s="185"/>
      <c r="D38" s="186" t="s">
        <v>1154</v>
      </c>
      <c r="E38" s="219" t="s">
        <v>1137</v>
      </c>
      <c r="F38" s="140" t="s">
        <v>467</v>
      </c>
      <c r="G38" s="154" t="str">
        <f t="shared" ref="G38:G40" si="1">IF($C$10="Yes", "No", "Yes")</f>
        <v>Yes</v>
      </c>
      <c r="H38" s="143" t="str">
        <f>IF(AND(TBL_Q_05_PAS_C3_C[[#This Row],[Include?]]="Yes", TBL_Q_05_PAS_C3_C[[#This Row],[Response?]]="Yes"), "", "Shade")</f>
        <v/>
      </c>
      <c r="I38" s="143" t="str">
        <f>IF(TBL_Q_05_PAS_C3_C[[#This Row],[Shade]]="Shade", "", IF(TBL_Q_05_PAS_C3_C[[#This Row],[Response]]&lt;&gt;"", "Done", "Add"))</f>
        <v>Add</v>
      </c>
      <c r="J38" s="37"/>
    </row>
    <row r="39" spans="1:10" ht="25">
      <c r="A39" s="60"/>
      <c r="B39" s="50" t="s">
        <v>1187</v>
      </c>
      <c r="C39" s="185"/>
      <c r="D39" s="186" t="s">
        <v>1155</v>
      </c>
      <c r="E39" s="219" t="s">
        <v>1138</v>
      </c>
      <c r="F39" s="140" t="s">
        <v>467</v>
      </c>
      <c r="G39" s="154" t="str">
        <f t="shared" si="1"/>
        <v>Yes</v>
      </c>
      <c r="H39" s="143" t="str">
        <f>IF(AND(TBL_Q_05_PAS_C3_C[[#This Row],[Include?]]="Yes", TBL_Q_05_PAS_C3_C[[#This Row],[Response?]]="Yes"), "", "Shade")</f>
        <v/>
      </c>
      <c r="I39" s="143" t="str">
        <f>IF(TBL_Q_05_PAS_C3_C[[#This Row],[Shade]]="Shade", "", IF(TBL_Q_05_PAS_C3_C[[#This Row],[Response]]&lt;&gt;"", "Done", "Add"))</f>
        <v>Add</v>
      </c>
      <c r="J39" s="37"/>
    </row>
    <row r="40" spans="1:10" ht="37.5">
      <c r="A40" s="59"/>
      <c r="B40" s="50" t="s">
        <v>1188</v>
      </c>
      <c r="C40" s="185"/>
      <c r="D40" s="186" t="s">
        <v>1156</v>
      </c>
      <c r="E40" s="219" t="s">
        <v>1139</v>
      </c>
      <c r="F40" s="140" t="s">
        <v>467</v>
      </c>
      <c r="G40" s="154" t="str">
        <f t="shared" si="1"/>
        <v>Yes</v>
      </c>
      <c r="H40" s="143" t="str">
        <f>IF(AND(TBL_Q_05_PAS_C3_C[[#This Row],[Include?]]="Yes", TBL_Q_05_PAS_C3_C[[#This Row],[Response?]]="Yes"), "", "Shade")</f>
        <v/>
      </c>
      <c r="I40" s="143" t="str">
        <f>IF(TBL_Q_05_PAS_C3_C[[#This Row],[Shade]]="Shade", "", IF(TBL_Q_05_PAS_C3_C[[#This Row],[Response]]&lt;&gt;"", "Done", "Add"))</f>
        <v>Add</v>
      </c>
      <c r="J40" s="37"/>
    </row>
    <row r="41" spans="1:10" ht="162.5">
      <c r="A41" s="39" t="s">
        <v>1150</v>
      </c>
      <c r="B41" s="39" t="s">
        <v>1157</v>
      </c>
      <c r="C41" s="188"/>
      <c r="D41" s="196" t="s">
        <v>1150</v>
      </c>
      <c r="E41" s="219" t="s">
        <v>1140</v>
      </c>
      <c r="F41" s="140" t="s">
        <v>467</v>
      </c>
      <c r="G41" s="236" t="str">
        <f>IF($C$10="Yes", "No", IF(AND($C$35="No", COUNTIF($C$38:$C$40, "Yes")&gt;0), "Yes", "No"))</f>
        <v>No</v>
      </c>
      <c r="H41" s="143" t="str">
        <f>IF(AND(TBL_Q_05_PAS_C3_C[[#This Row],[Include?]]="Yes", TBL_Q_05_PAS_C3_C[[#This Row],[Response?]]="Yes"), "", "Shade")</f>
        <v>Shade</v>
      </c>
      <c r="I41" s="143" t="str">
        <f>IF(TBL_Q_05_PAS_C3_C[[#This Row],[Shade]]="Shade", "", IF(TBL_Q_05_PAS_C3_C[[#This Row],[Response]]&lt;&gt;"", "Done", "Add"))</f>
        <v/>
      </c>
      <c r="J41" s="37"/>
    </row>
    <row r="43" spans="1:10" ht="27" customHeight="1">
      <c r="A43" s="37" t="s">
        <v>1158</v>
      </c>
      <c r="B43" s="696" t="s">
        <v>1159</v>
      </c>
      <c r="C43" s="696"/>
    </row>
    <row r="45" spans="1:10" ht="13">
      <c r="A45" s="61" t="s">
        <v>1160</v>
      </c>
      <c r="B45" s="113" t="s">
        <v>95</v>
      </c>
    </row>
    <row r="46" spans="1:10">
      <c r="B46" s="696" t="s">
        <v>1345</v>
      </c>
      <c r="C46" s="696"/>
    </row>
    <row r="47" spans="1:10" ht="25.25" customHeight="1">
      <c r="B47" s="697" t="s">
        <v>140</v>
      </c>
      <c r="C47" s="697"/>
    </row>
    <row r="48" spans="1:10" ht="29.75" customHeight="1">
      <c r="B48" s="696" t="s">
        <v>1344</v>
      </c>
      <c r="C48" s="696"/>
    </row>
    <row r="49" spans="1:10" ht="13">
      <c r="A49" s="115" t="s">
        <v>585</v>
      </c>
      <c r="B49" s="184" t="s">
        <v>146</v>
      </c>
      <c r="C49" s="183" t="s">
        <v>19</v>
      </c>
      <c r="D49" s="156" t="s">
        <v>714</v>
      </c>
      <c r="E49" s="156" t="s">
        <v>90</v>
      </c>
      <c r="F49" s="115" t="s">
        <v>324</v>
      </c>
      <c r="G49" s="156" t="s">
        <v>1351</v>
      </c>
      <c r="H49" s="156" t="s">
        <v>88</v>
      </c>
      <c r="I49" s="156" t="s">
        <v>487</v>
      </c>
      <c r="J49" s="37"/>
    </row>
    <row r="50" spans="1:10">
      <c r="A50" s="50" t="s">
        <v>1161</v>
      </c>
      <c r="B50" s="50" t="s">
        <v>1172</v>
      </c>
      <c r="C50" s="185"/>
      <c r="D50" s="154" t="s">
        <v>1161</v>
      </c>
      <c r="E50" s="219" t="s">
        <v>1141</v>
      </c>
      <c r="F50" s="140" t="s">
        <v>467</v>
      </c>
      <c r="G50" s="154" t="str">
        <f>IF($C$10="Yes", "No", "Yes")</f>
        <v>Yes</v>
      </c>
      <c r="H50" s="143" t="str">
        <f>IF(AND(TBL_Q_05_PAS_C3_D[[#This Row],[Include?]]="Yes", TBL_Q_05_PAS_C3_D[[#This Row],[Response?]]="Yes"), "", "Shade")</f>
        <v/>
      </c>
      <c r="I50" s="143" t="str">
        <f>IF(TBL_Q_05_PAS_C3_D[[#This Row],[Shade]]="Shade", "", IF(TBL_Q_05_PAS_C3_D[[#This Row],[Response]]&lt;&gt;"", "Done", "Add"))</f>
        <v>Add</v>
      </c>
      <c r="J50" s="37"/>
    </row>
    <row r="51" spans="1:10">
      <c r="A51" s="50" t="s">
        <v>1162</v>
      </c>
      <c r="B51" s="50" t="s">
        <v>1173</v>
      </c>
      <c r="C51" s="185"/>
      <c r="D51" s="154" t="s">
        <v>1162</v>
      </c>
      <c r="E51" s="219" t="s">
        <v>1142</v>
      </c>
      <c r="F51" s="140" t="s">
        <v>467</v>
      </c>
      <c r="G51" s="154" t="str">
        <f t="shared" ref="G51:G62" si="2">IF($C$10="Yes", "No", "Yes")</f>
        <v>Yes</v>
      </c>
      <c r="H51" s="143" t="str">
        <f>IF(AND(TBL_Q_05_PAS_C3_D[[#This Row],[Include?]]="Yes", TBL_Q_05_PAS_C3_D[[#This Row],[Response?]]="Yes"), "", "Shade")</f>
        <v/>
      </c>
      <c r="I51" s="143" t="str">
        <f>IF(TBL_Q_05_PAS_C3_D[[#This Row],[Shade]]="Shade", "", IF(TBL_Q_05_PAS_C3_D[[#This Row],[Response]]&lt;&gt;"", "Done", "Add"))</f>
        <v>Add</v>
      </c>
      <c r="J51" s="37"/>
    </row>
    <row r="52" spans="1:10">
      <c r="A52" s="50" t="s">
        <v>1163</v>
      </c>
      <c r="B52" s="50" t="s">
        <v>1174</v>
      </c>
      <c r="C52" s="185"/>
      <c r="D52" s="154" t="s">
        <v>1163</v>
      </c>
      <c r="E52" s="219" t="s">
        <v>1143</v>
      </c>
      <c r="F52" s="140" t="s">
        <v>467</v>
      </c>
      <c r="G52" s="154" t="str">
        <f t="shared" si="2"/>
        <v>Yes</v>
      </c>
      <c r="H52" s="143" t="str">
        <f>IF(AND(TBL_Q_05_PAS_C3_D[[#This Row],[Include?]]="Yes", TBL_Q_05_PAS_C3_D[[#This Row],[Response?]]="Yes"), "", "Shade")</f>
        <v/>
      </c>
      <c r="I52" s="143" t="str">
        <f>IF(TBL_Q_05_PAS_C3_D[[#This Row],[Shade]]="Shade", "", IF(TBL_Q_05_PAS_C3_D[[#This Row],[Response]]&lt;&gt;"", "Done", "Add"))</f>
        <v>Add</v>
      </c>
      <c r="J52" s="37"/>
    </row>
    <row r="53" spans="1:10">
      <c r="A53" s="50" t="s">
        <v>1164</v>
      </c>
      <c r="B53" s="50" t="s">
        <v>1175</v>
      </c>
      <c r="C53" s="185"/>
      <c r="D53" s="154" t="s">
        <v>1164</v>
      </c>
      <c r="E53" s="219" t="s">
        <v>1144</v>
      </c>
      <c r="F53" s="140" t="s">
        <v>467</v>
      </c>
      <c r="G53" s="154" t="str">
        <f t="shared" si="2"/>
        <v>Yes</v>
      </c>
      <c r="H53" s="143" t="str">
        <f>IF(AND(TBL_Q_05_PAS_C3_D[[#This Row],[Include?]]="Yes", TBL_Q_05_PAS_C3_D[[#This Row],[Response?]]="Yes"), "", "Shade")</f>
        <v/>
      </c>
      <c r="I53" s="143" t="str">
        <f>IF(TBL_Q_05_PAS_C3_D[[#This Row],[Shade]]="Shade", "", IF(TBL_Q_05_PAS_C3_D[[#This Row],[Response]]&lt;&gt;"", "Done", "Add"))</f>
        <v>Add</v>
      </c>
      <c r="J53" s="37"/>
    </row>
    <row r="54" spans="1:10">
      <c r="A54" s="50" t="s">
        <v>1169</v>
      </c>
      <c r="B54" s="50" t="s">
        <v>1183</v>
      </c>
      <c r="C54" s="185"/>
      <c r="D54" s="154" t="s">
        <v>1169</v>
      </c>
      <c r="E54" s="219" t="s">
        <v>1145</v>
      </c>
      <c r="F54" s="140" t="s">
        <v>467</v>
      </c>
      <c r="G54" s="154" t="str">
        <f t="shared" si="2"/>
        <v>Yes</v>
      </c>
      <c r="H54" s="143" t="str">
        <f>IF(AND(TBL_Q_05_PAS_C3_D[[#This Row],[Include?]]="Yes", TBL_Q_05_PAS_C3_D[[#This Row],[Response?]]="Yes"), "", "Shade")</f>
        <v/>
      </c>
      <c r="I54" s="143" t="str">
        <f>IF(TBL_Q_05_PAS_C3_D[[#This Row],[Shade]]="Shade", "", IF(TBL_Q_05_PAS_C3_D[[#This Row],[Response]]&lt;&gt;"", "Done", "Add"))</f>
        <v>Add</v>
      </c>
      <c r="J54" s="37"/>
    </row>
    <row r="55" spans="1:10">
      <c r="A55" s="50" t="s">
        <v>1170</v>
      </c>
      <c r="B55" s="50" t="s">
        <v>1184</v>
      </c>
      <c r="C55" s="185"/>
      <c r="D55" s="154" t="s">
        <v>1170</v>
      </c>
      <c r="E55" s="219" t="s">
        <v>1146</v>
      </c>
      <c r="F55" s="140" t="s">
        <v>467</v>
      </c>
      <c r="G55" s="154" t="str">
        <f t="shared" si="2"/>
        <v>Yes</v>
      </c>
      <c r="H55" s="143" t="str">
        <f>IF(AND(TBL_Q_05_PAS_C3_D[[#This Row],[Include?]]="Yes", TBL_Q_05_PAS_C3_D[[#This Row],[Response?]]="Yes"), "", "Shade")</f>
        <v/>
      </c>
      <c r="I55" s="143" t="str">
        <f>IF(TBL_Q_05_PAS_C3_D[[#This Row],[Shade]]="Shade", "", IF(TBL_Q_05_PAS_C3_D[[#This Row],[Response]]&lt;&gt;"", "Done", "Add"))</f>
        <v>Add</v>
      </c>
      <c r="J55" s="37"/>
    </row>
    <row r="56" spans="1:10">
      <c r="A56" s="50" t="s">
        <v>1171</v>
      </c>
      <c r="B56" s="50" t="s">
        <v>1185</v>
      </c>
      <c r="C56" s="185"/>
      <c r="D56" s="154" t="s">
        <v>1171</v>
      </c>
      <c r="E56" s="219" t="s">
        <v>1165</v>
      </c>
      <c r="F56" s="140" t="s">
        <v>467</v>
      </c>
      <c r="G56" s="154" t="str">
        <f t="shared" si="2"/>
        <v>Yes</v>
      </c>
      <c r="H56" s="143" t="str">
        <f>IF(AND(TBL_Q_05_PAS_C3_D[[#This Row],[Include?]]="Yes", TBL_Q_05_PAS_C3_D[[#This Row],[Response?]]="Yes"), "", "Shade")</f>
        <v/>
      </c>
      <c r="I56" s="143" t="str">
        <f>IF(TBL_Q_05_PAS_C3_D[[#This Row],[Shade]]="Shade", "", IF(TBL_Q_05_PAS_C3_D[[#This Row],[Response]]&lt;&gt;"", "Done", "Add"))</f>
        <v>Add</v>
      </c>
      <c r="J56" s="37"/>
    </row>
    <row r="57" spans="1:10">
      <c r="A57" s="39" t="s">
        <v>1181</v>
      </c>
      <c r="B57" s="216" t="s">
        <v>1347</v>
      </c>
      <c r="C57" s="235"/>
      <c r="D57" s="154" t="s">
        <v>1181</v>
      </c>
      <c r="E57" s="219" t="s">
        <v>1166</v>
      </c>
      <c r="F57" s="231"/>
      <c r="G57" s="236"/>
      <c r="H57" s="234"/>
      <c r="I57" s="234"/>
      <c r="J57" s="37"/>
    </row>
    <row r="58" spans="1:10" ht="25">
      <c r="A58" s="60"/>
      <c r="B58" s="50" t="s">
        <v>1190</v>
      </c>
      <c r="C58" s="185"/>
      <c r="D58" s="154" t="s">
        <v>1181</v>
      </c>
      <c r="E58" s="219" t="s">
        <v>1167</v>
      </c>
      <c r="F58" s="140" t="s">
        <v>467</v>
      </c>
      <c r="G58" s="154" t="str">
        <f t="shared" si="2"/>
        <v>Yes</v>
      </c>
      <c r="H58" s="143" t="str">
        <f>IF(AND(TBL_Q_05_PAS_C3_D[[#This Row],[Include?]]="Yes", TBL_Q_05_PAS_C3_D[[#This Row],[Response?]]="Yes"), "", "Shade")</f>
        <v/>
      </c>
      <c r="I58" s="143" t="str">
        <f>IF(TBL_Q_05_PAS_C3_D[[#This Row],[Shade]]="Shade", "", IF(TBL_Q_05_PAS_C3_D[[#This Row],[Response]]&lt;&gt;"", "Done", "Add"))</f>
        <v>Add</v>
      </c>
      <c r="J58" s="37"/>
    </row>
    <row r="59" spans="1:10">
      <c r="A59" s="60"/>
      <c r="B59" s="50" t="s">
        <v>1189</v>
      </c>
      <c r="C59" s="185"/>
      <c r="D59" s="154" t="s">
        <v>1181</v>
      </c>
      <c r="E59" s="219" t="s">
        <v>1168</v>
      </c>
      <c r="F59" s="140" t="s">
        <v>467</v>
      </c>
      <c r="G59" s="154" t="str">
        <f t="shared" si="2"/>
        <v>Yes</v>
      </c>
      <c r="H59" s="143" t="str">
        <f>IF(AND(TBL_Q_05_PAS_C3_D[[#This Row],[Include?]]="Yes", TBL_Q_05_PAS_C3_D[[#This Row],[Response?]]="Yes"), "", "Shade")</f>
        <v/>
      </c>
      <c r="I59" s="143" t="str">
        <f>IF(TBL_Q_05_PAS_C3_D[[#This Row],[Shade]]="Shade", "", IF(TBL_Q_05_PAS_C3_D[[#This Row],[Response]]&lt;&gt;"", "Done", "Add"))</f>
        <v>Add</v>
      </c>
      <c r="J59" s="37"/>
    </row>
    <row r="60" spans="1:10" ht="25">
      <c r="A60" s="60"/>
      <c r="B60" s="50" t="s">
        <v>1191</v>
      </c>
      <c r="C60" s="185"/>
      <c r="D60" s="154" t="s">
        <v>1181</v>
      </c>
      <c r="E60" s="219" t="s">
        <v>1176</v>
      </c>
      <c r="F60" s="140" t="s">
        <v>467</v>
      </c>
      <c r="G60" s="154" t="str">
        <f t="shared" si="2"/>
        <v>Yes</v>
      </c>
      <c r="H60" s="143" t="str">
        <f>IF(AND(TBL_Q_05_PAS_C3_D[[#This Row],[Include?]]="Yes", TBL_Q_05_PAS_C3_D[[#This Row],[Response?]]="Yes"), "", "Shade")</f>
        <v/>
      </c>
      <c r="I60" s="143" t="str">
        <f>IF(TBL_Q_05_PAS_C3_D[[#This Row],[Shade]]="Shade", "", IF(TBL_Q_05_PAS_C3_D[[#This Row],[Response]]&lt;&gt;"", "Done", "Add"))</f>
        <v>Add</v>
      </c>
      <c r="J60" s="37"/>
    </row>
    <row r="61" spans="1:10" ht="25">
      <c r="A61" s="60"/>
      <c r="B61" s="50" t="s">
        <v>1192</v>
      </c>
      <c r="C61" s="185"/>
      <c r="D61" s="154" t="s">
        <v>1181</v>
      </c>
      <c r="E61" s="219" t="s">
        <v>1177</v>
      </c>
      <c r="F61" s="140" t="s">
        <v>467</v>
      </c>
      <c r="G61" s="154" t="str">
        <f t="shared" si="2"/>
        <v>Yes</v>
      </c>
      <c r="H61" s="143" t="str">
        <f>IF(AND(TBL_Q_05_PAS_C3_D[[#This Row],[Include?]]="Yes", TBL_Q_05_PAS_C3_D[[#This Row],[Response?]]="Yes"), "", "Shade")</f>
        <v/>
      </c>
      <c r="I61" s="143" t="str">
        <f>IF(TBL_Q_05_PAS_C3_D[[#This Row],[Shade]]="Shade", "", IF(TBL_Q_05_PAS_C3_D[[#This Row],[Response]]&lt;&gt;"", "Done", "Add"))</f>
        <v>Add</v>
      </c>
      <c r="J61" s="37"/>
    </row>
    <row r="62" spans="1:10" ht="25">
      <c r="A62" s="59"/>
      <c r="B62" s="50" t="s">
        <v>1195</v>
      </c>
      <c r="C62" s="185"/>
      <c r="D62" s="154" t="s">
        <v>1181</v>
      </c>
      <c r="E62" s="219" t="s">
        <v>1178</v>
      </c>
      <c r="F62" s="140" t="s">
        <v>467</v>
      </c>
      <c r="G62" s="154" t="str">
        <f t="shared" si="2"/>
        <v>Yes</v>
      </c>
      <c r="H62" s="143" t="str">
        <f>IF(AND(TBL_Q_05_PAS_C3_D[[#This Row],[Include?]]="Yes", TBL_Q_05_PAS_C3_D[[#This Row],[Response?]]="Yes"), "", "Shade")</f>
        <v/>
      </c>
      <c r="I62" s="143" t="str">
        <f>IF(TBL_Q_05_PAS_C3_D[[#This Row],[Shade]]="Shade", "", IF(TBL_Q_05_PAS_C3_D[[#This Row],[Response]]&lt;&gt;"", "Done", "Add"))</f>
        <v>Add</v>
      </c>
      <c r="J62" s="37"/>
    </row>
    <row r="63" spans="1:10" ht="75">
      <c r="A63" s="39" t="s">
        <v>1193</v>
      </c>
      <c r="B63" s="39" t="s">
        <v>1346</v>
      </c>
      <c r="C63" s="188"/>
      <c r="D63" s="189" t="s">
        <v>1193</v>
      </c>
      <c r="E63" s="219" t="s">
        <v>1179</v>
      </c>
      <c r="F63" s="140" t="s">
        <v>467</v>
      </c>
      <c r="G63" s="154" t="str">
        <f>IF($C$10="Yes", "No", IF(COUNTIF($C$58:$C$62, "Yes")&gt;0, "Yes", "No"))</f>
        <v>No</v>
      </c>
      <c r="H63" s="143" t="str">
        <f>IF(AND(TBL_Q_05_PAS_C3_D[[#This Row],[Include?]]="Yes", TBL_Q_05_PAS_C3_D[[#This Row],[Response?]]="Yes"), "", "Shade")</f>
        <v>Shade</v>
      </c>
      <c r="I63" s="143" t="str">
        <f>IF(TBL_Q_05_PAS_C3_D[[#This Row],[Shade]]="Shade", "", IF(TBL_Q_05_PAS_C3_D[[#This Row],[Response]]&lt;&gt;"", "Done", "Add"))</f>
        <v/>
      </c>
      <c r="J63" s="37"/>
    </row>
  </sheetData>
  <sheetProtection algorithmName="SHA-512" hashValue="8784IA80jrmpTWM8d5OQNhG2Tbn+D1f4lyzDFdatZZwcTy+NGVQTcG4FlmE/hDo5U9yJmeGNoZxUngalD+OotA==" saltValue="6tOCVrydWXGO3gy3iubnRw==" spinCount="100000" sheet="1" objects="1" scenarios="1"/>
  <protectedRanges>
    <protectedRange sqref="C10 C19:C28 C35:C36 C38:C41 C50:C56 C58:C63" name="Responses"/>
  </protectedRanges>
  <dataConsolidate link="1"/>
  <mergeCells count="8">
    <mergeCell ref="B48:C48"/>
    <mergeCell ref="B47:C47"/>
    <mergeCell ref="B46:C46"/>
    <mergeCell ref="B13:C13"/>
    <mergeCell ref="B17:C17"/>
    <mergeCell ref="B32:C32"/>
    <mergeCell ref="B31:C31"/>
    <mergeCell ref="B43:C43"/>
  </mergeCells>
  <conditionalFormatting sqref="B35:C41 B50:C63 B10:C10 B19:C28">
    <cfRule type="expression" dxfId="114" priority="10">
      <formula>INDIRECT("H"&amp;ROW())="Shade"</formula>
    </cfRule>
  </conditionalFormatting>
  <conditionalFormatting sqref="C10 C19:C28 C35:C41 C50:C63">
    <cfRule type="expression" dxfId="113" priority="14">
      <formula>INDIRECT("I"&amp;ROW())="Done"</formula>
    </cfRule>
    <cfRule type="expression" dxfId="112" priority="15">
      <formula>INDIRECT("I"&amp;ROW())="Add"</formula>
    </cfRule>
  </conditionalFormatting>
  <conditionalFormatting sqref="C35:C41">
    <cfRule type="expression" dxfId="111" priority="7">
      <formula>INDIRECT("J"&amp;ROW())="Shade"</formula>
    </cfRule>
    <cfRule type="expression" dxfId="110" priority="8">
      <formula>INDIRECT("K"&amp;ROW())="Done"</formula>
    </cfRule>
    <cfRule type="expression" dxfId="109" priority="9">
      <formula>INDIRECT("K"&amp;ROW())="Add"</formula>
    </cfRule>
  </conditionalFormatting>
  <conditionalFormatting sqref="C50:C63">
    <cfRule type="expression" dxfId="108" priority="4">
      <formula>INDIRECT("J"&amp;ROW())="Shade"</formula>
    </cfRule>
    <cfRule type="expression" dxfId="107" priority="5">
      <formula>INDIRECT("K"&amp;ROW())="Done"</formula>
    </cfRule>
    <cfRule type="expression" dxfId="106" priority="6">
      <formula>INDIRECT("K"&amp;ROW())="Add"</formula>
    </cfRule>
  </conditionalFormatting>
  <conditionalFormatting sqref="C63">
    <cfRule type="expression" dxfId="105" priority="1">
      <formula>INDIRECT("J"&amp;ROW())="Shade"</formula>
    </cfRule>
    <cfRule type="expression" dxfId="104" priority="2">
      <formula>INDIRECT("K"&amp;ROW())="Done"</formula>
    </cfRule>
    <cfRule type="expression" dxfId="103" priority="3">
      <formula>INDIRECT("K"&amp;ROW())="Add"</formula>
    </cfRule>
  </conditionalFormatting>
  <dataValidations disablePrompts="1" count="3">
    <dataValidation type="list" allowBlank="1" showInputMessage="1" showErrorMessage="1" sqref="C10 C19:C26 C35:C36 C58:C62 C50:C56 C38:C40" xr:uid="{480C594F-E547-4F6D-B67B-EEEDC76CFBAE}">
      <formula1>"Yes, No"</formula1>
    </dataValidation>
    <dataValidation type="list" allowBlank="1" showInputMessage="1" showErrorMessage="1" sqref="C27:C28 C41" xr:uid="{6725B381-167D-4613-A5D2-538679DAA6FB}">
      <formula1>"Enclosed, Not applicable"</formula1>
    </dataValidation>
    <dataValidation type="list" allowBlank="1" showInputMessage="1" showErrorMessage="1" sqref="C63" xr:uid="{CC868AFD-DF9C-44D3-8BF6-E08514139004}">
      <formula1>"Enclosed"</formula1>
    </dataValidation>
  </dataValidations>
  <hyperlinks>
    <hyperlink ref="B14" r:id="rId1" xr:uid="{0A0F9E98-55DF-4224-AD79-DBDECCACB674}"/>
    <hyperlink ref="B32" r:id="rId2" xr:uid="{54FD8460-8B14-4AE4-811A-C86F8A0BE334}"/>
    <hyperlink ref="B47" r:id="rId3" xr:uid="{916AEFCB-685B-4045-A99B-772CF3ADE9A7}"/>
  </hyperlinks>
  <pageMargins left="0.59055118110236227" right="0.59055118110236227" top="0.39370078740157483" bottom="0.78740157480314965" header="0" footer="0.39370078740157483"/>
  <pageSetup paperSize="9" orientation="landscape" r:id="rId4"/>
  <headerFooter>
    <oddFooter>&amp;C&amp;"Arial,Regular"&amp;10&amp;K00-049&amp;P</oddFooter>
  </headerFooter>
  <rowBreaks count="1" manualBreakCount="1">
    <brk id="56" max="2" man="1"/>
  </rowBreaks>
  <tableParts count="4">
    <tablePart r:id="rId5"/>
    <tablePart r:id="rId6"/>
    <tablePart r:id="rId7"/>
    <tablePart r:id="rId8"/>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0B436-6654-4198-AE12-BA2B687C7220}">
  <sheetPr codeName="Sheet65">
    <tabColor rgb="FFFF0000"/>
  </sheetPr>
  <dimension ref="A1:O60"/>
  <sheetViews>
    <sheetView showGridLines="0" topLeftCell="M1" zoomScaleNormal="100" zoomScaleSheetLayoutView="115" workbookViewId="0">
      <selection activeCell="L1" sqref="A1:L1048576"/>
    </sheetView>
  </sheetViews>
  <sheetFormatPr defaultColWidth="9" defaultRowHeight="12.5"/>
  <cols>
    <col min="1" max="1" width="9.36328125" style="37" hidden="1" customWidth="1"/>
    <col min="2" max="2" width="103.08984375" style="37" hidden="1" customWidth="1"/>
    <col min="3" max="3" width="13.54296875" style="150" hidden="1" customWidth="1"/>
    <col min="4" max="4" width="12.90625" style="37" hidden="1" customWidth="1"/>
    <col min="5" max="5" width="9.6328125" style="37" hidden="1" customWidth="1"/>
    <col min="6" max="6" width="9.54296875" style="37" hidden="1" customWidth="1"/>
    <col min="7" max="7" width="12.6328125" style="37" hidden="1" customWidth="1"/>
    <col min="8" max="8" width="7.6328125" style="37" hidden="1" customWidth="1"/>
    <col min="9" max="9" width="8.54296875" style="37" hidden="1" customWidth="1"/>
    <col min="10" max="10" width="11.36328125" style="150" hidden="1" customWidth="1"/>
    <col min="11" max="11" width="19.6328125" style="37" hidden="1" customWidth="1"/>
    <col min="12" max="12" width="9.08984375" style="37" hidden="1" customWidth="1"/>
    <col min="13" max="15" width="9.08984375" style="37" customWidth="1"/>
    <col min="16" max="16384" width="9" style="37"/>
  </cols>
  <sheetData>
    <row r="1" spans="1:15" s="94"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51"/>
      <c r="J1" s="352" t="str">
        <f>IF(REF_Alternative="Yes", IF(REF_Alternative_Response="Yes", "N/A", IF(SUM(COUNTIF(TBL_Q_05_PAS_C3_E[Check], "Add"), COUNTIF(TBL_Q_05_PAS_C3_F[Check], "Add"), COUNTIF(TBL_Q_05_PAS_C3_G[Check], "Add"), COUNTIF(TBL_Q_05_PAS_C3_H[Check], "Add"))&gt;0, "Incomplete", "Complete")), IF(SUM(COUNTIF(TBL_Q_05_PAS_C3_E[Check], "Add"), COUNTIF(TBL_Q_05_PAS_C3_F[Check], "Add"), COUNTIF(TBL_Q_05_PAS_C3_G[Check], "Add"), COUNTIF(TBL_Q_05_PAS_C3_H[Check], "Add"))&gt;0, "Incomplete", "Complete"))</f>
        <v>Incomplete</v>
      </c>
    </row>
    <row r="2" spans="1:15" s="94" customFormat="1" ht="12.5" customHeight="1">
      <c r="A2" s="54" t="str">
        <f t="array" ref="A2">CONCATENATE(INDEX(TBL_DATA_00_Doc_Merge[Supplier_Type], MATCH(1, (REF_Doc_Lot=TBL_DATA_00_Doc_Merge[Lot])*(REF_Job_No=TBL_DATA_00_Doc_Merge[Job_No]),0)), ":")</f>
        <v>Supplier:</v>
      </c>
      <c r="B2" s="54" t="str">
        <f>Response!$A$2</f>
        <v>Purdy Contracts Ltd</v>
      </c>
      <c r="C2" s="351"/>
      <c r="J2" s="351"/>
    </row>
    <row r="3" spans="1:15" s="94" customFormat="1" ht="12.5" customHeight="1">
      <c r="A3" s="345"/>
      <c r="B3" s="345"/>
      <c r="C3" s="351"/>
      <c r="J3" s="351"/>
    </row>
    <row r="4" spans="1:15" s="3" customFormat="1" ht="17.5">
      <c r="A4" s="88" t="s">
        <v>143</v>
      </c>
      <c r="B4" s="88" t="s">
        <v>1302</v>
      </c>
      <c r="C4" s="36"/>
      <c r="J4" s="36"/>
    </row>
    <row r="5" spans="1:15" s="3" customFormat="1" ht="14">
      <c r="A5" s="52"/>
      <c r="B5" s="52"/>
      <c r="C5" s="36"/>
      <c r="J5" s="36"/>
    </row>
    <row r="6" spans="1:15" s="56" customFormat="1" ht="15.5">
      <c r="A6" s="279" t="s">
        <v>1301</v>
      </c>
      <c r="B6" s="279" t="str">
        <f>IF(REF_Alternative="Yes", IF(REF_Alternative_Response="Yes", "Section not applicable", IF(OR('Project Info'!$K$75="No", 'Project Info'!$K$76="No"), "Delete this tab", "Additonal questions - Defence and Security Public Contract Procurement")), IF(OR('Project Info'!$K$75="No", 'Project Info'!$K$76="No"), "Delete this tab", "Additonal questions - Defence and Security Public Contract Procurement"))</f>
        <v>Delete this tab</v>
      </c>
      <c r="C6" s="181"/>
      <c r="D6" s="57"/>
      <c r="J6" s="55"/>
    </row>
    <row r="7" spans="1:15" s="56" customFormat="1" ht="15.5">
      <c r="A7" s="31"/>
      <c r="B7" s="31"/>
      <c r="C7" s="20"/>
      <c r="D7" s="10"/>
      <c r="E7" s="10"/>
      <c r="F7" s="10"/>
      <c r="G7" s="10"/>
      <c r="H7" s="10"/>
      <c r="I7" s="10"/>
      <c r="J7" s="20"/>
    </row>
    <row r="8" spans="1:15" s="56" customFormat="1" ht="15.5">
      <c r="A8" s="31"/>
      <c r="B8" s="49" t="s">
        <v>1260</v>
      </c>
      <c r="C8" s="20"/>
      <c r="D8" s="10"/>
      <c r="E8" s="10"/>
      <c r="F8" s="10"/>
      <c r="G8" s="10"/>
      <c r="H8" s="10"/>
      <c r="I8" s="10"/>
      <c r="J8" s="20"/>
    </row>
    <row r="9" spans="1:15" s="3" customFormat="1" ht="14">
      <c r="A9" s="115" t="s">
        <v>585</v>
      </c>
      <c r="B9" s="184" t="s">
        <v>1256</v>
      </c>
      <c r="C9" s="183" t="s">
        <v>844</v>
      </c>
      <c r="D9" s="156" t="s">
        <v>714</v>
      </c>
      <c r="E9" s="156" t="s">
        <v>90</v>
      </c>
      <c r="F9" s="115" t="s">
        <v>324</v>
      </c>
      <c r="G9" s="156" t="s">
        <v>1351</v>
      </c>
      <c r="H9" s="156" t="s">
        <v>88</v>
      </c>
      <c r="I9" s="156" t="s">
        <v>487</v>
      </c>
      <c r="J9" s="10"/>
      <c r="K9" s="10"/>
      <c r="L9" s="10"/>
      <c r="M9" s="10"/>
      <c r="N9" s="10"/>
    </row>
    <row r="10" spans="1:15" s="3" customFormat="1" ht="37.5">
      <c r="A10" s="39" t="s">
        <v>1208</v>
      </c>
      <c r="B10" s="197" t="s">
        <v>1196</v>
      </c>
      <c r="C10" s="188"/>
      <c r="D10" s="196" t="s">
        <v>1103</v>
      </c>
      <c r="E10" s="152" t="s">
        <v>1180</v>
      </c>
      <c r="F10" s="152" t="s">
        <v>467</v>
      </c>
      <c r="G10" s="237" t="s">
        <v>467</v>
      </c>
      <c r="H10" s="155" t="str">
        <f>IF(AND(TBL_Q_05_PAS_C3_E[[#This Row],[Include?]]="Yes", TBL_Q_05_PAS_C3_E[[#This Row],[Response?]]="Yes"), "", "Shade")</f>
        <v/>
      </c>
      <c r="I10" s="155" t="str">
        <f>IF(TBL_Q_05_PAS_C3_E[[#This Row],[Shade]]="Shade", "", IF(TBL_Q_05_PAS_C3_E[Yes or No?]&lt;&gt;"", "Done", "Add"))</f>
        <v>Add</v>
      </c>
      <c r="J10" s="10"/>
      <c r="K10" s="10"/>
      <c r="L10" s="10"/>
      <c r="M10" s="10"/>
      <c r="N10" s="10"/>
    </row>
    <row r="11" spans="1:15" s="3" customFormat="1" ht="14">
      <c r="A11" s="31"/>
      <c r="B11" s="31"/>
      <c r="C11" s="20"/>
      <c r="D11" s="10"/>
      <c r="E11" s="10"/>
      <c r="F11" s="10"/>
      <c r="G11" s="10"/>
      <c r="H11" s="10"/>
      <c r="I11" s="10"/>
      <c r="J11" s="20"/>
      <c r="K11" s="10"/>
      <c r="L11" s="10"/>
      <c r="M11" s="10"/>
      <c r="N11" s="10"/>
      <c r="O11" s="10"/>
    </row>
    <row r="12" spans="1:15" s="3" customFormat="1" ht="30.5" customHeight="1">
      <c r="A12" s="58" t="s">
        <v>1211</v>
      </c>
      <c r="B12" s="696" t="s">
        <v>1215</v>
      </c>
      <c r="C12" s="696"/>
      <c r="D12" s="138"/>
      <c r="E12" s="10"/>
      <c r="F12" s="10"/>
      <c r="G12" s="10"/>
      <c r="H12" s="10"/>
      <c r="I12" s="10"/>
      <c r="J12" s="20"/>
      <c r="K12" s="10"/>
      <c r="L12" s="10"/>
      <c r="M12" s="10"/>
      <c r="N12" s="10"/>
      <c r="O12" s="10"/>
    </row>
    <row r="13" spans="1:15" s="3" customFormat="1" ht="14">
      <c r="A13" s="157" t="s">
        <v>585</v>
      </c>
      <c r="B13" s="198" t="s">
        <v>146</v>
      </c>
      <c r="C13" s="199" t="s">
        <v>19</v>
      </c>
      <c r="D13" s="164" t="s">
        <v>714</v>
      </c>
      <c r="E13" s="164" t="s">
        <v>90</v>
      </c>
      <c r="F13" s="157" t="s">
        <v>324</v>
      </c>
      <c r="G13" s="164" t="s">
        <v>1351</v>
      </c>
      <c r="H13" s="164" t="s">
        <v>88</v>
      </c>
      <c r="I13" s="164" t="s">
        <v>487</v>
      </c>
      <c r="J13" s="147"/>
      <c r="K13" s="10"/>
      <c r="L13" s="10"/>
      <c r="M13" s="10"/>
      <c r="N13" s="10"/>
    </row>
    <row r="14" spans="1:15" s="3" customFormat="1" ht="37.5">
      <c r="A14" s="239"/>
      <c r="B14" s="158" t="s">
        <v>1216</v>
      </c>
      <c r="C14" s="200"/>
      <c r="D14" s="201" t="s">
        <v>1405</v>
      </c>
      <c r="E14" s="159" t="s">
        <v>1182</v>
      </c>
      <c r="F14" s="159" t="s">
        <v>467</v>
      </c>
      <c r="G14" s="238" t="str">
        <f>IF($C$10="Yes", "Yes", "No")</f>
        <v>No</v>
      </c>
      <c r="H14" s="160" t="str">
        <f>IF(AND(TBL_Q_05_PAS_C3_F[[#This Row],[Include?]]="Yes", TBL_Q_05_PAS_C3_F[[#This Row],[Response?]]="Yes"), "", "Shade")</f>
        <v>Shade</v>
      </c>
      <c r="I14" s="160" t="str">
        <f>IF(TBL_Q_05_PAS_C3_F[[#This Row],[Shade]]="Shade", "", IF(TBL_Q_05_PAS_C3_F[[#This Row],[Response]]&lt;&gt;"", "Done", "Add"))</f>
        <v/>
      </c>
      <c r="J14" s="147"/>
      <c r="K14" s="46"/>
      <c r="L14" s="46"/>
      <c r="M14" s="46"/>
      <c r="N14" s="46"/>
    </row>
    <row r="15" spans="1:15" s="3" customFormat="1" ht="25">
      <c r="A15" s="239"/>
      <c r="B15" s="158" t="s">
        <v>1217</v>
      </c>
      <c r="C15" s="200"/>
      <c r="D15" s="201" t="s">
        <v>1406</v>
      </c>
      <c r="E15" s="159" t="s">
        <v>1194</v>
      </c>
      <c r="F15" s="159" t="s">
        <v>467</v>
      </c>
      <c r="G15" s="238" t="str">
        <f t="shared" ref="G15:G19" si="0">IF($C$10="Yes", "Yes", "No")</f>
        <v>No</v>
      </c>
      <c r="H15" s="160" t="str">
        <f>IF(AND(TBL_Q_05_PAS_C3_F[[#This Row],[Include?]]="Yes", TBL_Q_05_PAS_C3_F[[#This Row],[Response?]]="Yes"), "", "Shade")</f>
        <v>Shade</v>
      </c>
      <c r="I15" s="160" t="str">
        <f>IF(TBL_Q_05_PAS_C3_F[[#This Row],[Shade]]="Shade", "", IF(TBL_Q_05_PAS_C3_F[[#This Row],[Response]]&lt;&gt;"", "Done", "Add"))</f>
        <v/>
      </c>
      <c r="J15" s="147"/>
      <c r="K15" s="46"/>
      <c r="L15" s="46"/>
      <c r="M15" s="46"/>
      <c r="N15" s="46"/>
    </row>
    <row r="16" spans="1:15" s="3" customFormat="1" ht="25">
      <c r="A16" s="239"/>
      <c r="B16" s="158" t="s">
        <v>1218</v>
      </c>
      <c r="C16" s="200"/>
      <c r="D16" s="201" t="s">
        <v>1407</v>
      </c>
      <c r="E16" s="159" t="s">
        <v>1197</v>
      </c>
      <c r="F16" s="159" t="s">
        <v>467</v>
      </c>
      <c r="G16" s="238" t="str">
        <f t="shared" si="0"/>
        <v>No</v>
      </c>
      <c r="H16" s="160" t="str">
        <f>IF(AND(TBL_Q_05_PAS_C3_F[[#This Row],[Include?]]="Yes", TBL_Q_05_PAS_C3_F[[#This Row],[Response?]]="Yes"), "", "Shade")</f>
        <v>Shade</v>
      </c>
      <c r="I16" s="160" t="str">
        <f>IF(TBL_Q_05_PAS_C3_F[[#This Row],[Shade]]="Shade", "", IF(TBL_Q_05_PAS_C3_F[[#This Row],[Response]]&lt;&gt;"", "Done", "Add"))</f>
        <v/>
      </c>
      <c r="J16" s="147"/>
      <c r="K16" s="46"/>
      <c r="L16" s="46"/>
      <c r="M16" s="46"/>
      <c r="N16" s="46"/>
    </row>
    <row r="17" spans="1:14" s="3" customFormat="1" ht="14">
      <c r="A17" s="239"/>
      <c r="B17" s="158" t="s">
        <v>1219</v>
      </c>
      <c r="C17" s="200"/>
      <c r="D17" s="201" t="s">
        <v>1408</v>
      </c>
      <c r="E17" s="159" t="s">
        <v>1198</v>
      </c>
      <c r="F17" s="159" t="s">
        <v>467</v>
      </c>
      <c r="G17" s="238" t="str">
        <f t="shared" si="0"/>
        <v>No</v>
      </c>
      <c r="H17" s="160" t="str">
        <f>IF(AND(TBL_Q_05_PAS_C3_F[[#This Row],[Include?]]="Yes", TBL_Q_05_PAS_C3_F[[#This Row],[Response?]]="Yes"), "", "Shade")</f>
        <v>Shade</v>
      </c>
      <c r="I17" s="160" t="str">
        <f>IF(TBL_Q_05_PAS_C3_F[[#This Row],[Shade]]="Shade", "", IF(TBL_Q_05_PAS_C3_F[[#This Row],[Response]]&lt;&gt;"", "Done", "Add"))</f>
        <v/>
      </c>
      <c r="J17" s="147"/>
      <c r="K17" s="46"/>
      <c r="L17" s="46"/>
      <c r="M17" s="46"/>
      <c r="N17" s="46"/>
    </row>
    <row r="18" spans="1:14" s="3" customFormat="1" ht="14">
      <c r="A18" s="239"/>
      <c r="B18" s="158" t="s">
        <v>1220</v>
      </c>
      <c r="C18" s="200"/>
      <c r="D18" s="201" t="s">
        <v>1409</v>
      </c>
      <c r="E18" s="159" t="s">
        <v>1199</v>
      </c>
      <c r="F18" s="159" t="s">
        <v>467</v>
      </c>
      <c r="G18" s="238" t="str">
        <f t="shared" si="0"/>
        <v>No</v>
      </c>
      <c r="H18" s="160" t="str">
        <f>IF(AND(TBL_Q_05_PAS_C3_F[[#This Row],[Include?]]="Yes", TBL_Q_05_PAS_C3_F[[#This Row],[Response?]]="Yes"), "", "Shade")</f>
        <v>Shade</v>
      </c>
      <c r="I18" s="160" t="str">
        <f>IF(TBL_Q_05_PAS_C3_F[[#This Row],[Shade]]="Shade", "", IF(TBL_Q_05_PAS_C3_F[[#This Row],[Response]]&lt;&gt;"", "Done", "Add"))</f>
        <v/>
      </c>
      <c r="J18" s="147"/>
      <c r="K18" s="46"/>
      <c r="L18" s="46"/>
      <c r="M18" s="46"/>
      <c r="N18" s="46"/>
    </row>
    <row r="19" spans="1:14" s="3" customFormat="1" ht="14">
      <c r="A19" s="239"/>
      <c r="B19" s="158" t="s">
        <v>1221</v>
      </c>
      <c r="C19" s="200"/>
      <c r="D19" s="201" t="s">
        <v>1410</v>
      </c>
      <c r="E19" s="159" t="s">
        <v>1200</v>
      </c>
      <c r="F19" s="159" t="s">
        <v>467</v>
      </c>
      <c r="G19" s="238" t="str">
        <f t="shared" si="0"/>
        <v>No</v>
      </c>
      <c r="H19" s="160" t="str">
        <f>IF(AND(TBL_Q_05_PAS_C3_F[[#This Row],[Include?]]="Yes", TBL_Q_05_PAS_C3_F[[#This Row],[Response?]]="Yes"), "", "Shade")</f>
        <v>Shade</v>
      </c>
      <c r="I19" s="160" t="str">
        <f>IF(TBL_Q_05_PAS_C3_F[[#This Row],[Shade]]="Shade", "", IF(TBL_Q_05_PAS_C3_F[[#This Row],[Response]]&lt;&gt;"", "Done", "Add"))</f>
        <v/>
      </c>
      <c r="J19" s="147"/>
      <c r="K19" s="46"/>
      <c r="L19" s="46"/>
      <c r="M19" s="46"/>
      <c r="N19" s="46"/>
    </row>
    <row r="20" spans="1:14" s="3" customFormat="1" ht="25">
      <c r="A20" s="239"/>
      <c r="B20" s="249" t="s">
        <v>1772</v>
      </c>
      <c r="C20" s="200" t="s">
        <v>24</v>
      </c>
      <c r="D20" s="201" t="s">
        <v>1411</v>
      </c>
      <c r="E20" s="159" t="s">
        <v>1201</v>
      </c>
      <c r="F20" s="159" t="s">
        <v>467</v>
      </c>
      <c r="G20" s="238" t="str">
        <f>IF($C$10="Yes", "Yes", "No")</f>
        <v>No</v>
      </c>
      <c r="H20" s="160" t="str">
        <f>IF(AND(TBL_Q_05_PAS_C3_F[[#This Row],[Include?]]="Yes", TBL_Q_05_PAS_C3_F[[#This Row],[Response?]]="Yes"), "", "Shade")</f>
        <v>Shade</v>
      </c>
      <c r="I20" s="162"/>
      <c r="J20" s="147"/>
      <c r="K20" s="46"/>
      <c r="L20" s="46"/>
      <c r="M20" s="46"/>
      <c r="N20" s="46"/>
    </row>
    <row r="21" spans="1:14" s="3" customFormat="1" ht="14">
      <c r="A21" s="239"/>
      <c r="B21" s="158" t="s">
        <v>1222</v>
      </c>
      <c r="C21" s="200"/>
      <c r="D21" s="201" t="s">
        <v>1412</v>
      </c>
      <c r="E21" s="159" t="s">
        <v>1202</v>
      </c>
      <c r="F21" s="159" t="s">
        <v>467</v>
      </c>
      <c r="G21" s="238" t="str">
        <f>IF($C$10="Yes", "Yes", "No")</f>
        <v>No</v>
      </c>
      <c r="H21" s="160" t="str">
        <f>IF(AND(TBL_Q_05_PAS_C3_F[[#This Row],[Include?]]="Yes", TBL_Q_05_PAS_C3_F[[#This Row],[Response?]]="Yes"), "", "Shade")</f>
        <v>Shade</v>
      </c>
      <c r="I21" s="160" t="str">
        <f>IF(TBL_Q_05_PAS_C3_F[[#This Row],[Shade]]="Shade", "", IF(TBL_Q_05_PAS_C3_F[[#This Row],[Response]]&lt;&gt;"", "Done", "Add"))</f>
        <v/>
      </c>
      <c r="J21" s="147"/>
      <c r="K21" s="46"/>
      <c r="L21" s="46"/>
      <c r="M21" s="46"/>
      <c r="N21" s="46"/>
    </row>
    <row r="22" spans="1:14" s="3" customFormat="1" ht="14">
      <c r="A22" s="239"/>
      <c r="B22" s="158" t="s">
        <v>1234</v>
      </c>
      <c r="C22" s="200"/>
      <c r="D22" s="201" t="s">
        <v>1413</v>
      </c>
      <c r="E22" s="159" t="s">
        <v>1203</v>
      </c>
      <c r="F22" s="159" t="s">
        <v>467</v>
      </c>
      <c r="G22" s="238" t="str">
        <f t="shared" ref="G22:G37" si="1">IF($C$10="Yes", "Yes", "No")</f>
        <v>No</v>
      </c>
      <c r="H22" s="160" t="str">
        <f>IF(AND(TBL_Q_05_PAS_C3_F[[#This Row],[Include?]]="Yes", TBL_Q_05_PAS_C3_F[[#This Row],[Response?]]="Yes"), "", "Shade")</f>
        <v>Shade</v>
      </c>
      <c r="I22" s="160" t="str">
        <f>IF(TBL_Q_05_PAS_C3_F[[#This Row],[Shade]]="Shade", "", IF(TBL_Q_05_PAS_C3_F[[#This Row],[Response]]&lt;&gt;"", "Done", "Add"))</f>
        <v/>
      </c>
      <c r="J22" s="147"/>
      <c r="K22" s="46"/>
      <c r="L22" s="46"/>
      <c r="M22" s="46"/>
      <c r="N22" s="46"/>
    </row>
    <row r="23" spans="1:14" s="3" customFormat="1" ht="25">
      <c r="A23" s="239"/>
      <c r="B23" s="158" t="s">
        <v>1235</v>
      </c>
      <c r="C23" s="200"/>
      <c r="D23" s="201" t="s">
        <v>1414</v>
      </c>
      <c r="E23" s="159" t="s">
        <v>1204</v>
      </c>
      <c r="F23" s="159" t="s">
        <v>467</v>
      </c>
      <c r="G23" s="238" t="str">
        <f t="shared" si="1"/>
        <v>No</v>
      </c>
      <c r="H23" s="160" t="str">
        <f>IF(AND(TBL_Q_05_PAS_C3_F[[#This Row],[Include?]]="Yes", TBL_Q_05_PAS_C3_F[[#This Row],[Response?]]="Yes"), "", "Shade")</f>
        <v>Shade</v>
      </c>
      <c r="I23" s="160" t="str">
        <f>IF(TBL_Q_05_PAS_C3_F[[#This Row],[Shade]]="Shade", "", IF(TBL_Q_05_PAS_C3_F[[#This Row],[Response]]&lt;&gt;"", "Done", "Add"))</f>
        <v/>
      </c>
      <c r="J23" s="147"/>
      <c r="K23" s="46"/>
      <c r="L23" s="46"/>
      <c r="M23" s="46"/>
      <c r="N23" s="46"/>
    </row>
    <row r="24" spans="1:14" s="3" customFormat="1" ht="14">
      <c r="A24" s="239"/>
      <c r="B24" s="158" t="s">
        <v>1236</v>
      </c>
      <c r="C24" s="200"/>
      <c r="D24" s="201" t="s">
        <v>1415</v>
      </c>
      <c r="E24" s="159" t="s">
        <v>1205</v>
      </c>
      <c r="F24" s="159" t="s">
        <v>467</v>
      </c>
      <c r="G24" s="238" t="str">
        <f t="shared" si="1"/>
        <v>No</v>
      </c>
      <c r="H24" s="160" t="str">
        <f>IF(AND(TBL_Q_05_PAS_C3_F[[#This Row],[Include?]]="Yes", TBL_Q_05_PAS_C3_F[[#This Row],[Response?]]="Yes"), "", "Shade")</f>
        <v>Shade</v>
      </c>
      <c r="I24" s="160" t="str">
        <f>IF(TBL_Q_05_PAS_C3_F[[#This Row],[Shade]]="Shade", "", IF(TBL_Q_05_PAS_C3_F[[#This Row],[Response]]&lt;&gt;"", "Done", "Add"))</f>
        <v/>
      </c>
      <c r="J24" s="147"/>
      <c r="K24" s="46"/>
      <c r="L24" s="46"/>
      <c r="M24" s="46"/>
      <c r="N24" s="46"/>
    </row>
    <row r="25" spans="1:14" s="3" customFormat="1" ht="14">
      <c r="A25" s="239"/>
      <c r="B25" s="158" t="s">
        <v>1237</v>
      </c>
      <c r="C25" s="200"/>
      <c r="D25" s="201" t="s">
        <v>1416</v>
      </c>
      <c r="E25" s="159" t="s">
        <v>1206</v>
      </c>
      <c r="F25" s="159" t="s">
        <v>467</v>
      </c>
      <c r="G25" s="238" t="str">
        <f t="shared" si="1"/>
        <v>No</v>
      </c>
      <c r="H25" s="160" t="str">
        <f>IF(AND(TBL_Q_05_PAS_C3_F[[#This Row],[Include?]]="Yes", TBL_Q_05_PAS_C3_F[[#This Row],[Response?]]="Yes"), "", "Shade")</f>
        <v>Shade</v>
      </c>
      <c r="I25" s="160" t="str">
        <f>IF(TBL_Q_05_PAS_C3_F[[#This Row],[Shade]]="Shade", "", IF(TBL_Q_05_PAS_C3_F[[#This Row],[Response]]&lt;&gt;"", "Done", "Add"))</f>
        <v/>
      </c>
      <c r="J25" s="147"/>
      <c r="K25" s="46"/>
      <c r="L25" s="46"/>
      <c r="M25" s="46"/>
      <c r="N25" s="46"/>
    </row>
    <row r="26" spans="1:14" s="3" customFormat="1" ht="14">
      <c r="A26" s="239"/>
      <c r="B26" s="158" t="s">
        <v>1238</v>
      </c>
      <c r="C26" s="200"/>
      <c r="D26" s="201" t="s">
        <v>1417</v>
      </c>
      <c r="E26" s="159" t="s">
        <v>1207</v>
      </c>
      <c r="F26" s="159" t="s">
        <v>467</v>
      </c>
      <c r="G26" s="238" t="str">
        <f t="shared" si="1"/>
        <v>No</v>
      </c>
      <c r="H26" s="160" t="str">
        <f>IF(AND(TBL_Q_05_PAS_C3_F[[#This Row],[Include?]]="Yes", TBL_Q_05_PAS_C3_F[[#This Row],[Response?]]="Yes"), "", "Shade")</f>
        <v>Shade</v>
      </c>
      <c r="I26" s="160" t="str">
        <f>IF(TBL_Q_05_PAS_C3_F[[#This Row],[Shade]]="Shade", "", IF(TBL_Q_05_PAS_C3_F[[#This Row],[Response]]&lt;&gt;"", "Done", "Add"))</f>
        <v/>
      </c>
      <c r="J26" s="147"/>
      <c r="K26" s="46"/>
      <c r="L26" s="46"/>
      <c r="M26" s="46"/>
      <c r="N26" s="46"/>
    </row>
    <row r="27" spans="1:14" s="3" customFormat="1" ht="25">
      <c r="A27" s="239"/>
      <c r="B27" s="158" t="s">
        <v>1239</v>
      </c>
      <c r="C27" s="200"/>
      <c r="D27" s="201" t="s">
        <v>1418</v>
      </c>
      <c r="E27" s="159" t="s">
        <v>1223</v>
      </c>
      <c r="F27" s="159" t="s">
        <v>467</v>
      </c>
      <c r="G27" s="238" t="str">
        <f t="shared" si="1"/>
        <v>No</v>
      </c>
      <c r="H27" s="160" t="str">
        <f>IF(AND(TBL_Q_05_PAS_C3_F[[#This Row],[Include?]]="Yes", TBL_Q_05_PAS_C3_F[[#This Row],[Response?]]="Yes"), "", "Shade")</f>
        <v>Shade</v>
      </c>
      <c r="I27" s="160" t="str">
        <f>IF(TBL_Q_05_PAS_C3_F[[#This Row],[Shade]]="Shade", "", IF(TBL_Q_05_PAS_C3_F[[#This Row],[Response]]&lt;&gt;"", "Done", "Add"))</f>
        <v/>
      </c>
      <c r="J27" s="147"/>
      <c r="K27" s="46"/>
      <c r="L27" s="46"/>
      <c r="M27" s="46"/>
      <c r="N27" s="46"/>
    </row>
    <row r="28" spans="1:14" s="3" customFormat="1" ht="25">
      <c r="A28" s="239"/>
      <c r="B28" s="158" t="s">
        <v>1240</v>
      </c>
      <c r="C28" s="200"/>
      <c r="D28" s="201" t="s">
        <v>1419</v>
      </c>
      <c r="E28" s="159" t="s">
        <v>1224</v>
      </c>
      <c r="F28" s="159" t="s">
        <v>467</v>
      </c>
      <c r="G28" s="238" t="str">
        <f t="shared" si="1"/>
        <v>No</v>
      </c>
      <c r="H28" s="160" t="str">
        <f>IF(AND(TBL_Q_05_PAS_C3_F[[#This Row],[Include?]]="Yes", TBL_Q_05_PAS_C3_F[[#This Row],[Response?]]="Yes"), "", "Shade")</f>
        <v>Shade</v>
      </c>
      <c r="I28" s="160" t="str">
        <f>IF(TBL_Q_05_PAS_C3_F[[#This Row],[Shade]]="Shade", "", IF(TBL_Q_05_PAS_C3_F[[#This Row],[Response]]&lt;&gt;"", "Done", "Add"))</f>
        <v/>
      </c>
      <c r="J28" s="147"/>
      <c r="K28" s="46"/>
      <c r="L28" s="46"/>
      <c r="M28" s="46"/>
      <c r="N28" s="46"/>
    </row>
    <row r="29" spans="1:14" s="3" customFormat="1" ht="25">
      <c r="A29" s="239"/>
      <c r="B29" s="158" t="s">
        <v>1241</v>
      </c>
      <c r="C29" s="200"/>
      <c r="D29" s="201" t="s">
        <v>1420</v>
      </c>
      <c r="E29" s="159" t="s">
        <v>1225</v>
      </c>
      <c r="F29" s="159" t="s">
        <v>467</v>
      </c>
      <c r="G29" s="238" t="str">
        <f t="shared" si="1"/>
        <v>No</v>
      </c>
      <c r="H29" s="160" t="str">
        <f>IF(AND(TBL_Q_05_PAS_C3_F[[#This Row],[Include?]]="Yes", TBL_Q_05_PAS_C3_F[[#This Row],[Response?]]="Yes"), "", "Shade")</f>
        <v>Shade</v>
      </c>
      <c r="I29" s="160" t="str">
        <f>IF(TBL_Q_05_PAS_C3_F[[#This Row],[Shade]]="Shade", "", IF(TBL_Q_05_PAS_C3_F[[#This Row],[Response]]&lt;&gt;"", "Done", "Add"))</f>
        <v/>
      </c>
      <c r="J29" s="147"/>
      <c r="K29" s="46"/>
      <c r="L29" s="46"/>
      <c r="M29" s="46"/>
      <c r="N29" s="46"/>
    </row>
    <row r="30" spans="1:14" s="3" customFormat="1" ht="75">
      <c r="A30" s="239"/>
      <c r="B30" s="158" t="s">
        <v>1242</v>
      </c>
      <c r="C30" s="200"/>
      <c r="D30" s="201" t="s">
        <v>1421</v>
      </c>
      <c r="E30" s="159" t="s">
        <v>1226</v>
      </c>
      <c r="F30" s="159" t="s">
        <v>467</v>
      </c>
      <c r="G30" s="238" t="str">
        <f t="shared" si="1"/>
        <v>No</v>
      </c>
      <c r="H30" s="160" t="str">
        <f>IF(AND(TBL_Q_05_PAS_C3_F[[#This Row],[Include?]]="Yes", TBL_Q_05_PAS_C3_F[[#This Row],[Response?]]="Yes"), "", "Shade")</f>
        <v>Shade</v>
      </c>
      <c r="I30" s="160" t="str">
        <f>IF(TBL_Q_05_PAS_C3_F[[#This Row],[Shade]]="Shade", "", IF(TBL_Q_05_PAS_C3_F[[#This Row],[Response]]&lt;&gt;"", "Done", "Add"))</f>
        <v/>
      </c>
      <c r="J30" s="147"/>
      <c r="K30" s="46"/>
      <c r="L30" s="46"/>
      <c r="M30" s="46"/>
      <c r="N30" s="46"/>
    </row>
    <row r="31" spans="1:14" s="3" customFormat="1" ht="14">
      <c r="A31" s="239"/>
      <c r="B31" s="158" t="s">
        <v>1243</v>
      </c>
      <c r="C31" s="200"/>
      <c r="D31" s="201" t="s">
        <v>1422</v>
      </c>
      <c r="E31" s="159" t="s">
        <v>1227</v>
      </c>
      <c r="F31" s="159" t="s">
        <v>467</v>
      </c>
      <c r="G31" s="238" t="str">
        <f t="shared" si="1"/>
        <v>No</v>
      </c>
      <c r="H31" s="160" t="str">
        <f>IF(AND(TBL_Q_05_PAS_C3_F[[#This Row],[Include?]]="Yes", TBL_Q_05_PAS_C3_F[[#This Row],[Response?]]="Yes"), "", "Shade")</f>
        <v>Shade</v>
      </c>
      <c r="I31" s="160" t="str">
        <f>IF(TBL_Q_05_PAS_C3_F[[#This Row],[Shade]]="Shade", "", IF(TBL_Q_05_PAS_C3_F[[#This Row],[Response]]&lt;&gt;"", "Done", "Add"))</f>
        <v/>
      </c>
      <c r="J31" s="147"/>
      <c r="K31" s="46"/>
      <c r="L31" s="46"/>
      <c r="M31" s="46"/>
      <c r="N31" s="46"/>
    </row>
    <row r="32" spans="1:14" s="3" customFormat="1" ht="14">
      <c r="A32" s="239"/>
      <c r="B32" s="158" t="s">
        <v>1244</v>
      </c>
      <c r="C32" s="200"/>
      <c r="D32" s="201" t="s">
        <v>1423</v>
      </c>
      <c r="E32" s="159" t="s">
        <v>1228</v>
      </c>
      <c r="F32" s="159" t="s">
        <v>467</v>
      </c>
      <c r="G32" s="238" t="str">
        <f t="shared" si="1"/>
        <v>No</v>
      </c>
      <c r="H32" s="160" t="str">
        <f>IF(AND(TBL_Q_05_PAS_C3_F[[#This Row],[Include?]]="Yes", TBL_Q_05_PAS_C3_F[[#This Row],[Response?]]="Yes"), "", "Shade")</f>
        <v>Shade</v>
      </c>
      <c r="I32" s="160" t="str">
        <f>IF(TBL_Q_05_PAS_C3_F[[#This Row],[Shade]]="Shade", "", IF(TBL_Q_05_PAS_C3_F[[#This Row],[Response]]&lt;&gt;"", "Done", "Add"))</f>
        <v/>
      </c>
      <c r="J32" s="147"/>
      <c r="K32" s="46"/>
      <c r="L32" s="46"/>
      <c r="M32" s="46"/>
      <c r="N32" s="46"/>
    </row>
    <row r="33" spans="1:14" s="3" customFormat="1" ht="37.5">
      <c r="A33" s="239"/>
      <c r="B33" s="158" t="s">
        <v>1245</v>
      </c>
      <c r="C33" s="200"/>
      <c r="D33" s="201" t="s">
        <v>1424</v>
      </c>
      <c r="E33" s="159" t="s">
        <v>1229</v>
      </c>
      <c r="F33" s="159" t="s">
        <v>467</v>
      </c>
      <c r="G33" s="238" t="str">
        <f t="shared" si="1"/>
        <v>No</v>
      </c>
      <c r="H33" s="160" t="str">
        <f>IF(AND(TBL_Q_05_PAS_C3_F[[#This Row],[Include?]]="Yes", TBL_Q_05_PAS_C3_F[[#This Row],[Response?]]="Yes"), "", "Shade")</f>
        <v>Shade</v>
      </c>
      <c r="I33" s="160" t="str">
        <f>IF(TBL_Q_05_PAS_C3_F[[#This Row],[Shade]]="Shade", "", IF(TBL_Q_05_PAS_C3_F[[#This Row],[Response]]&lt;&gt;"", "Done", "Add"))</f>
        <v/>
      </c>
      <c r="J33" s="147"/>
      <c r="K33" s="46"/>
      <c r="L33" s="46"/>
      <c r="M33" s="46"/>
      <c r="N33" s="46"/>
    </row>
    <row r="34" spans="1:14" s="3" customFormat="1" ht="25">
      <c r="A34" s="239"/>
      <c r="B34" s="158" t="s">
        <v>1250</v>
      </c>
      <c r="C34" s="200"/>
      <c r="D34" s="201" t="s">
        <v>1425</v>
      </c>
      <c r="E34" s="159" t="s">
        <v>1230</v>
      </c>
      <c r="F34" s="159" t="s">
        <v>467</v>
      </c>
      <c r="G34" s="238" t="str">
        <f t="shared" si="1"/>
        <v>No</v>
      </c>
      <c r="H34" s="160" t="str">
        <f>IF(AND(TBL_Q_05_PAS_C3_F[[#This Row],[Include?]]="Yes", TBL_Q_05_PAS_C3_F[[#This Row],[Response?]]="Yes"), "", "Shade")</f>
        <v>Shade</v>
      </c>
      <c r="I34" s="160" t="str">
        <f>IF(TBL_Q_05_PAS_C3_F[[#This Row],[Shade]]="Shade", "", IF(TBL_Q_05_PAS_C3_F[[#This Row],[Response]]&lt;&gt;"", "Done", "Add"))</f>
        <v/>
      </c>
      <c r="J34" s="147"/>
      <c r="K34" s="46"/>
      <c r="L34" s="46"/>
      <c r="M34" s="46"/>
      <c r="N34" s="46"/>
    </row>
    <row r="35" spans="1:14" s="3" customFormat="1" ht="25">
      <c r="A35" s="239"/>
      <c r="B35" s="158" t="s">
        <v>1251</v>
      </c>
      <c r="C35" s="200"/>
      <c r="D35" s="201" t="s">
        <v>1426</v>
      </c>
      <c r="E35" s="159" t="s">
        <v>1231</v>
      </c>
      <c r="F35" s="159" t="s">
        <v>467</v>
      </c>
      <c r="G35" s="238" t="str">
        <f t="shared" si="1"/>
        <v>No</v>
      </c>
      <c r="H35" s="160" t="str">
        <f>IF(AND(TBL_Q_05_PAS_C3_F[[#This Row],[Include?]]="Yes", TBL_Q_05_PAS_C3_F[[#This Row],[Response?]]="Yes"), "", "Shade")</f>
        <v>Shade</v>
      </c>
      <c r="I35" s="160" t="str">
        <f>IF(TBL_Q_05_PAS_C3_F[[#This Row],[Shade]]="Shade", "", IF(TBL_Q_05_PAS_C3_F[[#This Row],[Response]]&lt;&gt;"", "Done", "Add"))</f>
        <v/>
      </c>
      <c r="J35" s="147"/>
      <c r="K35" s="46"/>
      <c r="L35" s="46"/>
      <c r="M35" s="46"/>
      <c r="N35" s="46"/>
    </row>
    <row r="36" spans="1:14" s="3" customFormat="1" ht="14">
      <c r="A36" s="239"/>
      <c r="B36" s="158" t="s">
        <v>1252</v>
      </c>
      <c r="C36" s="200"/>
      <c r="D36" s="201" t="s">
        <v>1427</v>
      </c>
      <c r="E36" s="159" t="s">
        <v>1232</v>
      </c>
      <c r="F36" s="159" t="s">
        <v>467</v>
      </c>
      <c r="G36" s="238" t="str">
        <f t="shared" si="1"/>
        <v>No</v>
      </c>
      <c r="H36" s="160" t="str">
        <f>IF(AND(TBL_Q_05_PAS_C3_F[[#This Row],[Include?]]="Yes", TBL_Q_05_PAS_C3_F[[#This Row],[Response?]]="Yes"), "", "Shade")</f>
        <v>Shade</v>
      </c>
      <c r="I36" s="160" t="str">
        <f>IF(TBL_Q_05_PAS_C3_F[[#This Row],[Shade]]="Shade", "", IF(TBL_Q_05_PAS_C3_F[[#This Row],[Response]]&lt;&gt;"", "Done", "Add"))</f>
        <v/>
      </c>
      <c r="J36" s="147"/>
      <c r="K36" s="46"/>
      <c r="L36" s="46"/>
      <c r="M36" s="46"/>
      <c r="N36" s="46"/>
    </row>
    <row r="37" spans="1:14" s="3" customFormat="1" ht="25">
      <c r="A37" s="239"/>
      <c r="B37" s="161" t="s">
        <v>1253</v>
      </c>
      <c r="C37" s="200"/>
      <c r="D37" s="202" t="s">
        <v>1428</v>
      </c>
      <c r="E37" s="159" t="s">
        <v>1233</v>
      </c>
      <c r="F37" s="159" t="s">
        <v>467</v>
      </c>
      <c r="G37" s="238" t="str">
        <f t="shared" si="1"/>
        <v>No</v>
      </c>
      <c r="H37" s="160" t="str">
        <f>IF(AND(TBL_Q_05_PAS_C3_F[[#This Row],[Include?]]="Yes", TBL_Q_05_PAS_C3_F[[#This Row],[Response?]]="Yes"), "", "Shade")</f>
        <v>Shade</v>
      </c>
      <c r="I37" s="160" t="str">
        <f>IF(TBL_Q_05_PAS_C3_F[[#This Row],[Shade]]="Shade", "", IF(TBL_Q_05_PAS_C3_F[[#This Row],[Response]]&lt;&gt;"", "Done", "Add"))</f>
        <v/>
      </c>
      <c r="J37" s="147"/>
      <c r="K37" s="46"/>
      <c r="L37" s="46"/>
      <c r="M37" s="46"/>
      <c r="N37" s="46"/>
    </row>
    <row r="38" spans="1:14" s="3" customFormat="1" ht="14.75" customHeight="1">
      <c r="A38" s="58"/>
      <c r="B38" s="58" t="s">
        <v>1254</v>
      </c>
      <c r="C38" s="190"/>
      <c r="D38" s="191"/>
      <c r="E38" s="192"/>
      <c r="F38" s="193"/>
      <c r="G38" s="147"/>
      <c r="H38" s="194"/>
      <c r="I38" s="194"/>
      <c r="J38" s="195"/>
    </row>
    <row r="39" spans="1:14">
      <c r="A39" s="58"/>
      <c r="B39" s="58"/>
      <c r="C39" s="190"/>
      <c r="D39" s="191"/>
      <c r="E39" s="192"/>
      <c r="F39" s="193"/>
      <c r="G39" s="147"/>
      <c r="H39" s="194"/>
      <c r="I39" s="194"/>
      <c r="J39" s="195"/>
    </row>
    <row r="40" spans="1:14" ht="53" customHeight="1">
      <c r="A40" s="58" t="s">
        <v>1158</v>
      </c>
      <c r="B40" s="696" t="s">
        <v>1255</v>
      </c>
      <c r="C40" s="696"/>
      <c r="D40" s="191"/>
      <c r="E40" s="192"/>
      <c r="F40" s="193"/>
      <c r="G40" s="147"/>
      <c r="H40" s="194"/>
      <c r="I40" s="194"/>
      <c r="J40" s="195"/>
    </row>
    <row r="41" spans="1:14">
      <c r="A41" s="58"/>
      <c r="B41" s="58"/>
      <c r="C41" s="190"/>
      <c r="D41" s="191"/>
      <c r="E41" s="192"/>
      <c r="F41" s="193"/>
      <c r="G41" s="147"/>
      <c r="H41" s="194"/>
      <c r="I41" s="194"/>
      <c r="J41" s="195"/>
    </row>
    <row r="42" spans="1:14" ht="13">
      <c r="A42" s="58"/>
      <c r="B42" s="61" t="s">
        <v>1259</v>
      </c>
      <c r="C42" s="190"/>
      <c r="D42" s="191"/>
      <c r="E42" s="192"/>
      <c r="F42" s="193"/>
      <c r="G42" s="147"/>
      <c r="H42" s="194"/>
      <c r="I42" s="194"/>
      <c r="J42" s="195"/>
    </row>
    <row r="43" spans="1:14" ht="13">
      <c r="A43" s="153" t="s">
        <v>585</v>
      </c>
      <c r="B43" s="187" t="s">
        <v>1256</v>
      </c>
      <c r="C43" s="183" t="s">
        <v>844</v>
      </c>
      <c r="D43" s="156" t="s">
        <v>714</v>
      </c>
      <c r="E43" s="156" t="s">
        <v>90</v>
      </c>
      <c r="F43" s="115" t="s">
        <v>324</v>
      </c>
      <c r="G43" s="156" t="s">
        <v>1351</v>
      </c>
      <c r="H43" s="156" t="s">
        <v>88</v>
      </c>
      <c r="I43" s="156" t="s">
        <v>487</v>
      </c>
      <c r="J43" s="37"/>
    </row>
    <row r="44" spans="1:14" ht="25">
      <c r="A44" s="50" t="s">
        <v>1261</v>
      </c>
      <c r="B44" s="50" t="s">
        <v>1258</v>
      </c>
      <c r="C44" s="185"/>
      <c r="D44" s="186" t="s">
        <v>1261</v>
      </c>
      <c r="E44" s="219" t="s">
        <v>1246</v>
      </c>
      <c r="F44" s="140" t="s">
        <v>467</v>
      </c>
      <c r="G44" s="154" t="s">
        <v>467</v>
      </c>
      <c r="H44" s="143" t="str">
        <f>IF(AND(TBL_Q_05_PAS_C3_G[[#This Row],[Include?]]="Yes", TBL_Q_05_PAS_C3_G[[#This Row],[Response?]]="Yes"), "", "Shade")</f>
        <v/>
      </c>
      <c r="I44" s="143" t="str">
        <f>IF(TBL_Q_05_PAS_C3_G[[#This Row],[Shade]]="Shade", "", IF(TBL_Q_05_PAS_C3_G[Yes or No?]&lt;&gt;"", "Done", "Add"))</f>
        <v>Add</v>
      </c>
      <c r="J44" s="37"/>
    </row>
    <row r="46" spans="1:14">
      <c r="A46" s="37" t="s">
        <v>1209</v>
      </c>
      <c r="B46" s="37" t="s">
        <v>1262</v>
      </c>
    </row>
    <row r="47" spans="1:14" ht="13">
      <c r="A47" s="153" t="s">
        <v>585</v>
      </c>
      <c r="B47" s="198" t="s">
        <v>146</v>
      </c>
      <c r="C47" s="183" t="s">
        <v>19</v>
      </c>
      <c r="D47" s="156" t="s">
        <v>714</v>
      </c>
      <c r="E47" s="156" t="s">
        <v>90</v>
      </c>
      <c r="F47" s="115" t="s">
        <v>324</v>
      </c>
      <c r="G47" s="156" t="s">
        <v>1351</v>
      </c>
      <c r="H47" s="156" t="s">
        <v>88</v>
      </c>
      <c r="I47" s="156" t="s">
        <v>487</v>
      </c>
      <c r="J47" s="37"/>
    </row>
    <row r="48" spans="1:14" ht="87.5">
      <c r="A48" s="39"/>
      <c r="B48" s="50" t="s">
        <v>1270</v>
      </c>
      <c r="C48" s="188"/>
      <c r="D48" s="142" t="s">
        <v>1212</v>
      </c>
      <c r="E48" s="219" t="s">
        <v>1247</v>
      </c>
      <c r="F48" s="140" t="s">
        <v>467</v>
      </c>
      <c r="G48" s="154" t="s">
        <v>467</v>
      </c>
      <c r="H48" s="143" t="str">
        <f>IF(AND(TBL_Q_05_PAS_C3_H[[#This Row],[Include?]]="Yes", TBL_Q_05_PAS_C3_H[[#This Row],[Response?]]="Yes"), "", "Shade")</f>
        <v/>
      </c>
      <c r="I48" s="143" t="str">
        <f>IF(TBL_Q_05_PAS_C3_H[[#This Row],[Shade]]="Shade", "", IF(TBL_Q_05_PAS_C3_H[[#This Row],[Response]]&lt;&gt;"", "Done", "Add"))</f>
        <v>Add</v>
      </c>
      <c r="J48" s="37"/>
    </row>
    <row r="49" spans="1:10" ht="25">
      <c r="A49" s="60"/>
      <c r="B49" s="50" t="s">
        <v>1271</v>
      </c>
      <c r="C49" s="188"/>
      <c r="D49" s="142" t="s">
        <v>1213</v>
      </c>
      <c r="E49" s="219" t="s">
        <v>1248</v>
      </c>
      <c r="F49" s="140" t="s">
        <v>467</v>
      </c>
      <c r="G49" s="154" t="s">
        <v>467</v>
      </c>
      <c r="H49" s="143" t="str">
        <f>IF(AND(TBL_Q_05_PAS_C3_H[[#This Row],[Include?]]="Yes", TBL_Q_05_PAS_C3_H[[#This Row],[Response?]]="Yes"), "", "Shade")</f>
        <v/>
      </c>
      <c r="I49" s="143" t="str">
        <f>IF(TBL_Q_05_PAS_C3_H[[#This Row],[Shade]]="Shade", "", IF(TBL_Q_05_PAS_C3_H[[#This Row],[Response]]&lt;&gt;"", "Done", "Add"))</f>
        <v>Add</v>
      </c>
      <c r="J49" s="37"/>
    </row>
    <row r="50" spans="1:10" ht="62.5">
      <c r="A50" s="59"/>
      <c r="B50" s="50" t="s">
        <v>1272</v>
      </c>
      <c r="C50" s="188"/>
      <c r="D50" s="142" t="s">
        <v>1214</v>
      </c>
      <c r="E50" s="219" t="s">
        <v>1249</v>
      </c>
      <c r="F50" s="140" t="s">
        <v>467</v>
      </c>
      <c r="G50" s="154" t="s">
        <v>467</v>
      </c>
      <c r="H50" s="143" t="str">
        <f>IF(AND(TBL_Q_05_PAS_C3_H[[#This Row],[Include?]]="Yes", TBL_Q_05_PAS_C3_H[[#This Row],[Response?]]="Yes"), "", "Shade")</f>
        <v/>
      </c>
      <c r="I50" s="143" t="str">
        <f>IF(TBL_Q_05_PAS_C3_H[[#This Row],[Shade]]="Shade", "", IF(TBL_Q_05_PAS_C3_H[[#This Row],[Response]]&lt;&gt;"", "Done", "Add"))</f>
        <v>Add</v>
      </c>
      <c r="J50" s="37"/>
    </row>
    <row r="52" spans="1:10">
      <c r="A52" s="37" t="s">
        <v>1210</v>
      </c>
      <c r="B52" s="37" t="s">
        <v>1273</v>
      </c>
    </row>
    <row r="53" spans="1:10" ht="13">
      <c r="A53" s="240" t="s">
        <v>585</v>
      </c>
      <c r="B53" s="198" t="s">
        <v>146</v>
      </c>
      <c r="C53" s="183" t="s">
        <v>19</v>
      </c>
      <c r="D53" s="156" t="s">
        <v>714</v>
      </c>
      <c r="E53" s="156" t="s">
        <v>90</v>
      </c>
      <c r="F53" s="115" t="s">
        <v>324</v>
      </c>
      <c r="G53" s="156" t="s">
        <v>1351</v>
      </c>
      <c r="H53" s="156" t="s">
        <v>88</v>
      </c>
      <c r="I53" s="241" t="s">
        <v>487</v>
      </c>
    </row>
    <row r="54" spans="1:10" ht="25">
      <c r="A54" s="39"/>
      <c r="B54" s="50" t="s">
        <v>1274</v>
      </c>
      <c r="C54" s="185"/>
      <c r="D54" s="142" t="s">
        <v>1279</v>
      </c>
      <c r="E54" s="219" t="s">
        <v>1257</v>
      </c>
      <c r="F54" s="140" t="s">
        <v>467</v>
      </c>
      <c r="G54" s="154" t="s">
        <v>467</v>
      </c>
      <c r="H54" s="143" t="str">
        <f>IF(AND(TBL_Q_05_PAS_C3_I[[#This Row],[Include?]]="Yes", TBL_Q_05_PAS_C3_I[[#This Row],[Response?]]="Yes"), "", "Shade")</f>
        <v/>
      </c>
      <c r="I54" s="143" t="str">
        <f>IF(TBL_Q_05_PAS_C3_I[[#This Row],[Shade]]="Shade", "", IF(TBL_Q_05_PAS_C3_I[[#This Row],[Response]]&lt;&gt;"", "Done", "Add"))</f>
        <v>Add</v>
      </c>
      <c r="J54" s="37"/>
    </row>
    <row r="55" spans="1:10" ht="37.5">
      <c r="A55" s="60"/>
      <c r="B55" s="50" t="s">
        <v>1275</v>
      </c>
      <c r="C55" s="185"/>
      <c r="D55" s="142" t="s">
        <v>1280</v>
      </c>
      <c r="E55" s="219" t="s">
        <v>1263</v>
      </c>
      <c r="F55" s="140" t="s">
        <v>467</v>
      </c>
      <c r="G55" s="154" t="s">
        <v>467</v>
      </c>
      <c r="H55" s="143" t="str">
        <f>IF(AND(TBL_Q_05_PAS_C3_I[[#This Row],[Include?]]="Yes", TBL_Q_05_PAS_C3_I[[#This Row],[Response?]]="Yes"), "", "Shade")</f>
        <v/>
      </c>
      <c r="I55" s="143" t="str">
        <f>IF(TBL_Q_05_PAS_C3_I[[#This Row],[Shade]]="Shade", "", IF(TBL_Q_05_PAS_C3_I[[#This Row],[Response]]&lt;&gt;"", "Done", "Add"))</f>
        <v>Add</v>
      </c>
      <c r="J55" s="37"/>
    </row>
    <row r="56" spans="1:10" ht="25">
      <c r="A56" s="60"/>
      <c r="B56" s="50" t="s">
        <v>1276</v>
      </c>
      <c r="C56" s="185"/>
      <c r="D56" s="142" t="s">
        <v>1281</v>
      </c>
      <c r="E56" s="219" t="s">
        <v>1264</v>
      </c>
      <c r="F56" s="140" t="s">
        <v>467</v>
      </c>
      <c r="G56" s="154" t="s">
        <v>467</v>
      </c>
      <c r="H56" s="143" t="str">
        <f>IF(AND(TBL_Q_05_PAS_C3_I[[#This Row],[Include?]]="Yes", TBL_Q_05_PAS_C3_I[[#This Row],[Response?]]="Yes"), "", "Shade")</f>
        <v/>
      </c>
      <c r="I56" s="143" t="str">
        <f>IF(TBL_Q_05_PAS_C3_I[[#This Row],[Shade]]="Shade", "", IF(TBL_Q_05_PAS_C3_I[[#This Row],[Response]]&lt;&gt;"", "Done", "Add"))</f>
        <v>Add</v>
      </c>
      <c r="J56" s="37"/>
    </row>
    <row r="57" spans="1:10" ht="25">
      <c r="A57" s="60"/>
      <c r="B57" s="50" t="s">
        <v>1278</v>
      </c>
      <c r="C57" s="185"/>
      <c r="D57" s="142" t="s">
        <v>1282</v>
      </c>
      <c r="E57" s="219" t="s">
        <v>1265</v>
      </c>
      <c r="F57" s="140" t="s">
        <v>467</v>
      </c>
      <c r="G57" s="154" t="s">
        <v>467</v>
      </c>
      <c r="H57" s="143" t="str">
        <f>IF(AND(TBL_Q_05_PAS_C3_I[[#This Row],[Include?]]="Yes", TBL_Q_05_PAS_C3_I[[#This Row],[Response?]]="Yes"), "", "Shade")</f>
        <v/>
      </c>
      <c r="I57" s="143" t="str">
        <f>IF(TBL_Q_05_PAS_C3_I[[#This Row],[Shade]]="Shade", "", IF(TBL_Q_05_PAS_C3_I[[#This Row],[Response]]&lt;&gt;"", "Done", "Add"))</f>
        <v>Add</v>
      </c>
      <c r="J57" s="37"/>
    </row>
    <row r="58" spans="1:10" ht="25">
      <c r="A58" s="59"/>
      <c r="B58" s="50" t="s">
        <v>1277</v>
      </c>
      <c r="C58" s="185"/>
      <c r="D58" s="142" t="s">
        <v>1283</v>
      </c>
      <c r="E58" s="219" t="s">
        <v>1266</v>
      </c>
      <c r="F58" s="140" t="s">
        <v>467</v>
      </c>
      <c r="G58" s="154" t="s">
        <v>467</v>
      </c>
      <c r="H58" s="143" t="str">
        <f>IF(AND(TBL_Q_05_PAS_C3_I[[#This Row],[Include?]]="Yes", TBL_Q_05_PAS_C3_I[[#This Row],[Response?]]="Yes"), "", "Shade")</f>
        <v/>
      </c>
      <c r="I58" s="143" t="str">
        <f>IF(TBL_Q_05_PAS_C3_I[[#This Row],[Shade]]="Shade", "", IF(TBL_Q_05_PAS_C3_I[[#This Row],[Response]]&lt;&gt;"", "Done", "Add"))</f>
        <v>Add</v>
      </c>
      <c r="J58" s="37"/>
    </row>
    <row r="60" spans="1:10" ht="79.25" customHeight="1">
      <c r="A60" s="37" t="s">
        <v>1158</v>
      </c>
      <c r="B60" s="696" t="s">
        <v>1284</v>
      </c>
      <c r="C60" s="696"/>
    </row>
  </sheetData>
  <sheetProtection algorithmName="SHA-512" hashValue="wAtvTMscHscojzqsi03Zq1L5nzeD2P5RTG2bJSWZ2EeL1IcXIUnaAfEBM9zn0wsQdvAOWb8XgrDIjqw5EYRiYA==" saltValue="j7RicPD5pdUMWrQwp1CvTw==" spinCount="100000" sheet="1" objects="1" scenarios="1"/>
  <protectedRanges>
    <protectedRange sqref="F44 F48:F50 F54:F58 F14:F42" name="Responses"/>
    <protectedRange sqref="F10 C10 C14:C42 C44 C54:C58 C48:C50" name="Responses_1"/>
  </protectedRanges>
  <dataConsolidate link="1"/>
  <mergeCells count="3">
    <mergeCell ref="B12:C12"/>
    <mergeCell ref="B40:C40"/>
    <mergeCell ref="B60:C60"/>
  </mergeCells>
  <conditionalFormatting sqref="B10:C10 B14:C37 B44:C44 B48:C50 B54:C58">
    <cfRule type="expression" dxfId="102" priority="19">
      <formula>INDIRECT("h"&amp;ROW())="Shade"</formula>
    </cfRule>
  </conditionalFormatting>
  <conditionalFormatting sqref="C10 C14:C19 C21:C37 C44 C48:C50 C54:C58">
    <cfRule type="expression" dxfId="101" priority="20">
      <formula>INDIRECT("i"&amp;ROW())="Done"</formula>
    </cfRule>
    <cfRule type="expression" dxfId="100" priority="21">
      <formula>INDIRECT("i"&amp;ROW())="Add"</formula>
    </cfRule>
  </conditionalFormatting>
  <dataValidations count="3">
    <dataValidation type="list" allowBlank="1" showInputMessage="1" showErrorMessage="1" sqref="C38:C39 C41:C42" xr:uid="{312331A8-EF99-4267-9120-07F7DAF9F5B8}">
      <formula1>"Enclosed"</formula1>
    </dataValidation>
    <dataValidation type="list" allowBlank="1" showInputMessage="1" showErrorMessage="1" sqref="C10 C44" xr:uid="{02215260-DB83-4FD6-B642-63ECB584E31E}">
      <formula1>"Yes, No"</formula1>
    </dataValidation>
    <dataValidation type="list" allowBlank="1" showInputMessage="1" showErrorMessage="1" sqref="C14:C19 C21:C37 C48:C50 C54:C58" xr:uid="{CD9D3BCA-BC01-4CC8-A408-AEA11C82D35D}">
      <formula1>"Enclosed, Not applicable"</formula1>
    </dataValidation>
  </dataValidations>
  <pageMargins left="0.59055118110236227" right="0.59055118110236227" top="0.39370078740157483" bottom="0.78740157480314965" header="0" footer="0.39370078740157483"/>
  <pageSetup paperSize="9" orientation="landscape" r:id="rId1"/>
  <headerFooter>
    <oddFooter>&amp;C&amp;"Arial,Regular"&amp;10&amp;K00-049&amp;P</oddFooter>
  </headerFooter>
  <rowBreaks count="1" manualBreakCount="1">
    <brk id="41" max="2" man="1"/>
  </rowBreaks>
  <tableParts count="5">
    <tablePart r:id="rId2"/>
    <tablePart r:id="rId3"/>
    <tablePart r:id="rId4"/>
    <tablePart r:id="rId5"/>
    <tablePart r:id="rId6"/>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BCCCB-0541-4DA5-BE06-C0EC46392B52}">
  <sheetPr codeName="Sheet67">
    <tabColor rgb="FFFF0000"/>
  </sheetPr>
  <dimension ref="A1:Q91"/>
  <sheetViews>
    <sheetView showGridLines="0" topLeftCell="P1" zoomScaleNormal="100" workbookViewId="0">
      <selection activeCell="O1" sqref="A1:O1048576"/>
    </sheetView>
  </sheetViews>
  <sheetFormatPr defaultColWidth="9" defaultRowHeight="12.5"/>
  <cols>
    <col min="1" max="1" width="9.36328125" style="37" hidden="1" customWidth="1"/>
    <col min="2" max="2" width="31.6328125" style="37" hidden="1" customWidth="1"/>
    <col min="3" max="3" width="53.453125" style="58" hidden="1" customWidth="1"/>
    <col min="4" max="4" width="12.54296875" style="37" hidden="1" customWidth="1"/>
    <col min="5" max="5" width="27.54296875" style="37" hidden="1" customWidth="1"/>
    <col min="6" max="6" width="10.6328125" style="37" hidden="1" customWidth="1"/>
    <col min="7" max="7" width="8.453125" style="37" hidden="1" customWidth="1"/>
    <col min="8" max="8" width="9.453125" style="37" hidden="1" customWidth="1"/>
    <col min="9" max="9" width="10.90625" style="37" hidden="1" customWidth="1"/>
    <col min="10" max="11" width="7.6328125" style="37" hidden="1" customWidth="1"/>
    <col min="12" max="12" width="13.36328125" style="150" hidden="1" customWidth="1"/>
    <col min="13" max="13" width="19.6328125" style="37" hidden="1" customWidth="1"/>
    <col min="14" max="15" width="9.08984375" style="37" hidden="1" customWidth="1"/>
    <col min="16" max="17" width="9.08984375" style="37" customWidth="1"/>
    <col min="18" max="16384" width="9" style="37"/>
  </cols>
  <sheetData>
    <row r="1" spans="1:17" s="94"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46"/>
      <c r="L1" s="352" t="str">
        <f>IF(REF_Alternative="Yes", IF(REF_Alternative_Response="Yes", "N/A", IF(SUM(COUNTIF(TBL_Q_05_PAS_C4_A[Check_1], "Add"), COUNTIF(TBL_Q_05_PAS_C4_A[Check_2], "Add"), COUNTIF(TBL_Q_05_PAS_C4_B[Check_1], "Add"), COUNTIF(TBL_Q_05_PAS_C4_B[Check_2], "Add"),COUNTIF(TBL_Q_05_PAS_C4_C[Check_1], "Add"), COUNTIF(TBL_Q_05_PAS_C4_C[Check_2], "Add"),COUNTIF(TBL_Q_05_PAS_C4_D[Check_1], "Add"), COUNTIF(TBL_Q_05_PAS_C4_D[Check_2], "Add"))&gt;0, "Incomplete", "Complete")), IF(SUM(COUNTIF(TBL_Q_05_PAS_C4_A[Check_1], "Add"), COUNTIF(TBL_Q_05_PAS_C4_A[Check_2], "Add"), COUNTIF(TBL_Q_05_PAS_C4_B[Check_1], "Add"), COUNTIF(TBL_Q_05_PAS_C4_B[Check_2], "Add"),COUNTIF(TBL_Q_05_PAS_C4_C[Check_1], "Add"), COUNTIF(TBL_Q_05_PAS_C4_C[Check_2], "Add"),COUNTIF(TBL_Q_05_PAS_C4_D[Check_1], "Add"), COUNTIF(TBL_Q_05_PAS_C4_D[Check_2], "Add"))&gt;0, "Incomplete", "Complete"))</f>
        <v>Incomplete</v>
      </c>
    </row>
    <row r="2" spans="1:17" s="94" customFormat="1" ht="12.5" customHeight="1">
      <c r="A2" s="54" t="str">
        <f t="array" ref="A2">CONCATENATE(INDEX(TBL_DATA_00_Doc_Merge[Supplier_Type], MATCH(1, (REF_Doc_Lot=TBL_DATA_00_Doc_Merge[Lot])*(REF_Job_No=TBL_DATA_00_Doc_Merge[Job_No]),0)), ":")</f>
        <v>Supplier:</v>
      </c>
      <c r="B2" s="54" t="str">
        <f>Response!$A$2</f>
        <v>Purdy Contracts Ltd</v>
      </c>
      <c r="C2" s="346"/>
      <c r="L2" s="351"/>
    </row>
    <row r="3" spans="1:17" s="94" customFormat="1" ht="12.5" customHeight="1">
      <c r="A3" s="345"/>
      <c r="B3" s="345"/>
      <c r="C3" s="346"/>
      <c r="L3" s="351"/>
    </row>
    <row r="4" spans="1:17" s="3" customFormat="1" ht="17.5">
      <c r="A4" s="88" t="s">
        <v>143</v>
      </c>
      <c r="B4" s="88" t="s">
        <v>1302</v>
      </c>
      <c r="C4" s="45"/>
      <c r="L4" s="36"/>
    </row>
    <row r="5" spans="1:17" s="3" customFormat="1" ht="14">
      <c r="A5" s="52"/>
      <c r="B5" s="52"/>
      <c r="C5" s="45"/>
      <c r="L5" s="36"/>
    </row>
    <row r="6" spans="1:17" s="56" customFormat="1" ht="15.5">
      <c r="A6" s="279" t="s">
        <v>1305</v>
      </c>
      <c r="B6" s="279" t="str">
        <f>IF(REF_Alternative="Yes", IF(REF_Alternative_Response="Yes", "Section not applicable", "Health and safety: policy and capability"), "Health and safety: policy and capability")</f>
        <v>Health and safety: policy and capability</v>
      </c>
      <c r="D6" s="57"/>
      <c r="E6" s="57"/>
      <c r="F6" s="57"/>
      <c r="L6" s="55"/>
    </row>
    <row r="7" spans="1:17" s="3" customFormat="1" ht="14">
      <c r="A7" s="31"/>
      <c r="B7" s="31"/>
      <c r="C7" s="46"/>
      <c r="D7" s="10"/>
      <c r="E7" s="10"/>
      <c r="F7" s="10"/>
      <c r="G7" s="10"/>
      <c r="H7" s="10"/>
      <c r="I7" s="10"/>
      <c r="J7" s="10"/>
      <c r="K7" s="10"/>
      <c r="L7" s="20"/>
      <c r="M7" s="10"/>
      <c r="N7" s="10"/>
      <c r="O7" s="10"/>
      <c r="P7" s="10"/>
      <c r="Q7" s="10"/>
    </row>
    <row r="8" spans="1:17" s="3" customFormat="1" ht="14">
      <c r="A8" s="31"/>
      <c r="B8" s="31" t="s">
        <v>1352</v>
      </c>
      <c r="C8" s="46"/>
      <c r="D8" s="10"/>
      <c r="E8" s="10"/>
      <c r="F8" s="10"/>
      <c r="G8" s="10"/>
      <c r="H8" s="10"/>
      <c r="I8" s="10"/>
      <c r="J8" s="10"/>
      <c r="K8" s="10"/>
      <c r="L8" s="20"/>
      <c r="M8" s="10"/>
      <c r="N8" s="10"/>
      <c r="O8" s="10"/>
      <c r="P8" s="10"/>
      <c r="Q8" s="10"/>
    </row>
    <row r="9" spans="1:17" s="3" customFormat="1" ht="14">
      <c r="A9" s="31"/>
      <c r="B9" s="31"/>
      <c r="C9" s="46"/>
      <c r="D9" s="10"/>
      <c r="E9" s="10"/>
      <c r="F9" s="10"/>
      <c r="G9" s="10"/>
      <c r="H9" s="10"/>
      <c r="I9" s="10"/>
      <c r="J9" s="10"/>
      <c r="K9" s="10"/>
      <c r="L9" s="20"/>
      <c r="M9" s="10"/>
      <c r="N9" s="10"/>
      <c r="O9" s="10"/>
      <c r="P9" s="10"/>
      <c r="Q9" s="10"/>
    </row>
    <row r="10" spans="1:17" s="3" customFormat="1" ht="14">
      <c r="A10" s="31" t="s">
        <v>845</v>
      </c>
      <c r="B10" s="698" t="s">
        <v>1357</v>
      </c>
      <c r="C10" s="698"/>
      <c r="D10" s="698"/>
      <c r="E10" s="698"/>
      <c r="F10" s="10"/>
      <c r="G10" s="10"/>
      <c r="H10" s="10"/>
      <c r="I10" s="10"/>
      <c r="J10" s="10"/>
      <c r="K10" s="10"/>
      <c r="L10" s="20"/>
      <c r="M10" s="10"/>
      <c r="N10" s="10"/>
      <c r="O10" s="10"/>
      <c r="P10" s="10"/>
      <c r="Q10" s="10"/>
    </row>
    <row r="11" spans="1:17" s="3" customFormat="1" ht="14">
      <c r="A11" s="31"/>
      <c r="B11" s="218"/>
      <c r="C11" s="218"/>
      <c r="D11" s="218"/>
      <c r="E11" s="218"/>
      <c r="F11" s="10"/>
      <c r="G11" s="10"/>
      <c r="H11" s="10"/>
      <c r="I11" s="10"/>
      <c r="J11" s="10"/>
      <c r="K11" s="10"/>
      <c r="L11" s="20"/>
      <c r="M11" s="10"/>
      <c r="N11" s="10"/>
      <c r="O11" s="10"/>
      <c r="P11" s="10"/>
      <c r="Q11" s="10"/>
    </row>
    <row r="12" spans="1:17" s="3" customFormat="1" ht="14">
      <c r="A12" s="31"/>
      <c r="B12" s="698" t="s">
        <v>1354</v>
      </c>
      <c r="C12" s="698"/>
      <c r="D12" s="698"/>
      <c r="E12" s="698"/>
      <c r="F12" s="10"/>
      <c r="G12" s="10"/>
      <c r="H12" s="10"/>
      <c r="I12" s="10"/>
      <c r="J12" s="10"/>
      <c r="K12" s="10"/>
      <c r="L12" s="20"/>
      <c r="M12" s="10"/>
      <c r="N12" s="10"/>
      <c r="O12" s="10"/>
      <c r="P12" s="10"/>
      <c r="Q12" s="10"/>
    </row>
    <row r="13" spans="1:17" s="3" customFormat="1" ht="14">
      <c r="A13" s="31"/>
      <c r="B13" s="698" t="s">
        <v>1355</v>
      </c>
      <c r="C13" s="698"/>
      <c r="D13" s="698"/>
      <c r="E13" s="698"/>
      <c r="F13" s="10"/>
      <c r="G13" s="10"/>
      <c r="H13" s="10"/>
      <c r="I13" s="10"/>
      <c r="J13" s="10"/>
      <c r="K13" s="10"/>
      <c r="L13" s="20"/>
      <c r="M13" s="10"/>
      <c r="N13" s="10"/>
      <c r="O13" s="10"/>
      <c r="P13" s="10"/>
      <c r="Q13" s="10"/>
    </row>
    <row r="14" spans="1:17" s="3" customFormat="1" ht="14">
      <c r="A14" s="31"/>
      <c r="B14" s="218"/>
      <c r="C14" s="218"/>
      <c r="D14" s="218"/>
      <c r="E14" s="218"/>
      <c r="F14" s="10"/>
      <c r="G14" s="10"/>
      <c r="H14" s="10"/>
      <c r="I14" s="10"/>
      <c r="J14" s="10"/>
      <c r="K14" s="10"/>
      <c r="L14" s="20"/>
      <c r="M14" s="10"/>
      <c r="N14" s="10"/>
      <c r="O14" s="10"/>
      <c r="P14" s="10"/>
      <c r="Q14" s="10"/>
    </row>
    <row r="15" spans="1:17" s="3" customFormat="1" ht="108" customHeight="1">
      <c r="A15" s="31"/>
      <c r="B15" s="698" t="s">
        <v>1359</v>
      </c>
      <c r="C15" s="698"/>
      <c r="D15" s="698"/>
      <c r="E15" s="698"/>
      <c r="F15" s="10"/>
      <c r="G15" s="10"/>
      <c r="H15" s="10"/>
      <c r="I15" s="10"/>
      <c r="J15" s="10"/>
      <c r="K15" s="10"/>
      <c r="L15" s="20"/>
      <c r="M15" s="10"/>
      <c r="N15" s="10"/>
      <c r="O15" s="10"/>
      <c r="P15" s="10"/>
      <c r="Q15" s="10"/>
    </row>
    <row r="16" spans="1:17" s="3" customFormat="1" ht="14">
      <c r="A16" s="31"/>
      <c r="B16" s="218"/>
      <c r="C16" s="218"/>
      <c r="D16" s="218"/>
      <c r="E16" s="218"/>
      <c r="F16" s="10"/>
      <c r="G16" s="10"/>
      <c r="H16" s="10"/>
      <c r="I16" s="10"/>
      <c r="J16" s="10"/>
      <c r="K16" s="10"/>
      <c r="L16" s="20"/>
      <c r="M16" s="10"/>
      <c r="N16" s="10"/>
      <c r="O16" s="10"/>
      <c r="P16" s="10"/>
      <c r="Q16" s="10"/>
    </row>
    <row r="17" spans="1:17" s="3" customFormat="1" ht="30.5" customHeight="1">
      <c r="A17" s="31" t="s">
        <v>1158</v>
      </c>
      <c r="B17" s="698" t="s">
        <v>1358</v>
      </c>
      <c r="C17" s="698"/>
      <c r="D17" s="698"/>
      <c r="E17" s="698"/>
      <c r="F17" s="10"/>
      <c r="G17" s="10"/>
      <c r="H17" s="10"/>
      <c r="I17" s="10"/>
      <c r="J17" s="10"/>
      <c r="K17" s="10"/>
      <c r="L17" s="20"/>
      <c r="M17" s="10"/>
      <c r="N17" s="10"/>
      <c r="O17" s="10"/>
      <c r="P17" s="10"/>
      <c r="Q17" s="10"/>
    </row>
    <row r="18" spans="1:17" s="3" customFormat="1" ht="14">
      <c r="A18" s="31"/>
      <c r="B18" s="218"/>
      <c r="C18" s="218"/>
      <c r="D18" s="218"/>
      <c r="E18" s="218"/>
      <c r="F18" s="10"/>
      <c r="G18" s="10"/>
      <c r="H18" s="10"/>
      <c r="I18" s="10"/>
      <c r="J18" s="10"/>
      <c r="K18" s="10"/>
      <c r="L18" s="20"/>
      <c r="M18" s="10"/>
      <c r="N18" s="10"/>
      <c r="O18" s="10"/>
      <c r="P18" s="10"/>
      <c r="Q18" s="10"/>
    </row>
    <row r="19" spans="1:17" s="3" customFormat="1" ht="26">
      <c r="A19" s="63" t="s">
        <v>585</v>
      </c>
      <c r="B19" s="63" t="s">
        <v>853</v>
      </c>
      <c r="C19" s="63" t="s">
        <v>851</v>
      </c>
      <c r="D19" s="63" t="s">
        <v>19</v>
      </c>
      <c r="E19" s="63" t="s">
        <v>1353</v>
      </c>
      <c r="F19" s="156" t="s">
        <v>714</v>
      </c>
      <c r="G19" s="156" t="s">
        <v>90</v>
      </c>
      <c r="H19" s="115" t="s">
        <v>324</v>
      </c>
      <c r="I19" s="115" t="s">
        <v>1351</v>
      </c>
      <c r="J19" s="156" t="s">
        <v>88</v>
      </c>
      <c r="K19" s="156" t="s">
        <v>1348</v>
      </c>
      <c r="L19" s="156" t="s">
        <v>1349</v>
      </c>
      <c r="M19" s="147"/>
      <c r="N19" s="10"/>
      <c r="O19" s="10"/>
      <c r="P19" s="10"/>
      <c r="Q19" s="10"/>
    </row>
    <row r="20" spans="1:17" s="3" customFormat="1" ht="50">
      <c r="A20" s="171" t="s">
        <v>845</v>
      </c>
      <c r="B20" s="50" t="s">
        <v>854</v>
      </c>
      <c r="C20" s="50" t="s">
        <v>852</v>
      </c>
      <c r="D20" s="140"/>
      <c r="E20" s="140"/>
      <c r="F20" s="154" t="s">
        <v>859</v>
      </c>
      <c r="G20" s="143" t="s">
        <v>846</v>
      </c>
      <c r="H20" s="140" t="s">
        <v>467</v>
      </c>
      <c r="I20" s="253" t="s">
        <v>467</v>
      </c>
      <c r="J20" s="143" t="str">
        <f>IF(AND(TBL_Q_05_PAS_C4_A[[#This Row],[Include?]]="Yes", TBL_Q_05_PAS_C4_A[[#This Row],[Response?]]="Yes"), "", "Shade")</f>
        <v/>
      </c>
      <c r="K20" s="143" t="str">
        <f>IF(TBL_Q_05_PAS_C4_A[[#This Row],[Shade]]="Shade", "", IF(TBL_Q_05_PAS_C4_A[[#This Row],[Response]]&lt;&gt;"", "Done", "Add"))</f>
        <v>Add</v>
      </c>
      <c r="L20" s="166" t="str">
        <f>IF(OR(TBL_Q_05_PAS_C4_A[[#This Row],[Response]]="Yes - i", TBL_Q_05_PAS_C4_A[[#This Row],[Response]]="Yes - i and ii"), IF(TBL_Q_05_PAS_C4_A[[#This Row],[CDM duty holder role(s) claimed]]&lt;&gt;"", "Done", "Add"), "Shade")</f>
        <v>Shade</v>
      </c>
      <c r="M20" s="147"/>
      <c r="N20" s="46"/>
      <c r="O20" s="46"/>
      <c r="P20" s="46"/>
      <c r="Q20" s="46"/>
    </row>
    <row r="21" spans="1:17" s="3" customFormat="1" ht="50">
      <c r="A21" s="60"/>
      <c r="B21" s="50" t="s">
        <v>855</v>
      </c>
      <c r="C21" s="50" t="s">
        <v>1356</v>
      </c>
      <c r="D21" s="140"/>
      <c r="E21" s="140"/>
      <c r="F21" s="154" t="s">
        <v>860</v>
      </c>
      <c r="G21" s="143" t="s">
        <v>848</v>
      </c>
      <c r="H21" s="140" t="s">
        <v>467</v>
      </c>
      <c r="I21" s="253" t="s">
        <v>467</v>
      </c>
      <c r="J21" s="143" t="str">
        <f>IF(AND(TBL_Q_05_PAS_C4_A[[#This Row],[Include?]]="Yes", TBL_Q_05_PAS_C4_A[[#This Row],[Response?]]="Yes"), "", "Shade")</f>
        <v/>
      </c>
      <c r="K21" s="143" t="str">
        <f>IF(TBL_Q_05_PAS_C4_A[[#This Row],[Shade]]="Shade", "", IF(TBL_Q_05_PAS_C4_A[[#This Row],[Response]]&lt;&gt;"", "Done", "Add"))</f>
        <v>Add</v>
      </c>
      <c r="L21" s="166" t="str">
        <f>IF(OR(TBL_Q_05_PAS_C4_A[[#This Row],[Response]]="Yes - i", TBL_Q_05_PAS_C4_A[[#This Row],[Response]]="Yes - i and ii"), IF(TBL_Q_05_PAS_C4_A[[#This Row],[CDM duty holder role(s) claimed]]&lt;&gt;"", "Done", "Add"), "Shade")</f>
        <v>Shade</v>
      </c>
      <c r="M21" s="147"/>
      <c r="N21" s="46"/>
      <c r="O21" s="46"/>
      <c r="P21" s="46"/>
      <c r="Q21" s="46"/>
    </row>
    <row r="22" spans="1:17" s="3" customFormat="1" ht="50">
      <c r="A22" s="59"/>
      <c r="B22" s="50" t="s">
        <v>856</v>
      </c>
      <c r="C22" s="140" t="s">
        <v>1774</v>
      </c>
      <c r="D22" s="140"/>
      <c r="E22" s="140"/>
      <c r="F22" s="154" t="s">
        <v>861</v>
      </c>
      <c r="G22" s="143" t="s">
        <v>850</v>
      </c>
      <c r="H22" s="140" t="s">
        <v>467</v>
      </c>
      <c r="I22" s="253" t="s">
        <v>467</v>
      </c>
      <c r="J22" s="143" t="str">
        <f>IF(AND(TBL_Q_05_PAS_C4_A[[#This Row],[Include?]]="Yes", TBL_Q_05_PAS_C4_A[[#This Row],[Response?]]="Yes"), "", "Shade")</f>
        <v/>
      </c>
      <c r="K22" s="143" t="str">
        <f>IF(TBL_Q_05_PAS_C4_A[[#This Row],[Shade]]="Shade", "", IF(TBL_Q_05_PAS_C4_A[[#This Row],[Response]]&lt;&gt;"", "Done", "Add"))</f>
        <v>Add</v>
      </c>
      <c r="L22" s="166" t="str">
        <f>IF(OR(TBL_Q_05_PAS_C4_A[[#This Row],[Response]]="Yes - i", TBL_Q_05_PAS_C4_A[[#This Row],[Response]]="Yes - i and ii"), IF(TBL_Q_05_PAS_C4_A[[#This Row],[CDM duty holder role(s) claimed]]&lt;&gt;"", "Done", "Add"), "Shade")</f>
        <v>Shade</v>
      </c>
      <c r="M22" s="147"/>
      <c r="N22" s="46"/>
      <c r="O22" s="46"/>
      <c r="P22" s="46"/>
      <c r="Q22" s="46"/>
    </row>
    <row r="24" spans="1:17" s="3" customFormat="1" ht="14">
      <c r="A24" s="52"/>
      <c r="B24" s="52"/>
      <c r="C24" s="45"/>
      <c r="L24" s="36"/>
    </row>
    <row r="25" spans="1:17" s="3" customFormat="1" ht="26">
      <c r="A25" s="63" t="s">
        <v>585</v>
      </c>
      <c r="B25" s="63" t="s">
        <v>146</v>
      </c>
      <c r="C25" s="63" t="s">
        <v>857</v>
      </c>
      <c r="D25" s="63" t="s">
        <v>844</v>
      </c>
      <c r="E25" s="63" t="s">
        <v>1331</v>
      </c>
      <c r="F25" s="156" t="s">
        <v>714</v>
      </c>
      <c r="G25" s="156" t="s">
        <v>90</v>
      </c>
      <c r="H25" s="115" t="s">
        <v>324</v>
      </c>
      <c r="I25" s="115" t="s">
        <v>1351</v>
      </c>
      <c r="J25" s="156" t="s">
        <v>88</v>
      </c>
      <c r="K25" s="156" t="s">
        <v>1348</v>
      </c>
      <c r="L25" s="156" t="s">
        <v>1349</v>
      </c>
      <c r="M25" s="147"/>
      <c r="N25" s="10"/>
      <c r="O25" s="10"/>
      <c r="P25" s="10"/>
      <c r="Q25" s="10"/>
    </row>
    <row r="26" spans="1:17" s="3" customFormat="1" ht="87.5">
      <c r="A26" s="170" t="s">
        <v>847</v>
      </c>
      <c r="B26" s="50" t="s">
        <v>916</v>
      </c>
      <c r="C26" s="50" t="s">
        <v>1360</v>
      </c>
      <c r="D26" s="140"/>
      <c r="E26" s="140"/>
      <c r="F26" s="170" t="s">
        <v>847</v>
      </c>
      <c r="G26" s="143" t="s">
        <v>862</v>
      </c>
      <c r="H26" s="140" t="s">
        <v>467</v>
      </c>
      <c r="I26" s="255" t="str">
        <f>IF(COUNTIF(TBL_Q_05_PAS_C4_A[Response], "No")&gt;2, "Yes", "No")</f>
        <v>No</v>
      </c>
      <c r="J26" s="143" t="str">
        <f>IF(AND(TBL_Q_05_PAS_C4_B[[#This Row],[Include?]]="Yes", TBL_Q_05_PAS_C4_B[[#This Row],[Response?]]="Yes"), "", "Shade")</f>
        <v>Shade</v>
      </c>
      <c r="K26" s="143" t="str">
        <f>IF(TBL_Q_05_PAS_C4_B[[#This Row],[Shade]]="Shade", "", IF(TBL_Q_05_PAS_C4_B[[#This Row],[Yes or No?]]&lt;&gt;"", "Done", "Add"))</f>
        <v/>
      </c>
      <c r="L26" s="166" t="str">
        <f>IF(TBL_Q_05_PAS_C4_B[[#This Row],[Yes or No?]]="Yes", IF(TBL_Q_05_PAS_C4_B[[#This Row],[Supplier’s unique reference to supporting information]]&lt;&gt;"", "Done", "Add"), "Shade")</f>
        <v>Shade</v>
      </c>
      <c r="M26" s="147"/>
      <c r="N26" s="46"/>
      <c r="O26" s="46"/>
      <c r="P26" s="46"/>
      <c r="Q26" s="46"/>
    </row>
    <row r="27" spans="1:17" s="3" customFormat="1" ht="75">
      <c r="A27" s="170" t="s">
        <v>849</v>
      </c>
      <c r="B27" s="50" t="s">
        <v>917</v>
      </c>
      <c r="C27" s="50" t="s">
        <v>919</v>
      </c>
      <c r="D27" s="140"/>
      <c r="E27" s="140"/>
      <c r="F27" s="170" t="s">
        <v>849</v>
      </c>
      <c r="G27" s="143" t="s">
        <v>863</v>
      </c>
      <c r="H27" s="140" t="s">
        <v>467</v>
      </c>
      <c r="I27" s="255" t="str">
        <f>IF(COUNTIF(TBL_Q_05_PAS_C4_A[Response], "No")&gt;2, "Yes", "No")</f>
        <v>No</v>
      </c>
      <c r="J27" s="143" t="str">
        <f>IF(AND(TBL_Q_05_PAS_C4_B[[#This Row],[Include?]]="Yes", TBL_Q_05_PAS_C4_B[[#This Row],[Response?]]="Yes"), "", "Shade")</f>
        <v>Shade</v>
      </c>
      <c r="K27" s="143" t="str">
        <f>IF(TBL_Q_05_PAS_C4_B[[#This Row],[Shade]]="Shade", "", IF(TBL_Q_05_PAS_C4_B[[#This Row],[Yes or No?]]&lt;&gt;"", "Done", "Add"))</f>
        <v/>
      </c>
      <c r="L27" s="166" t="str">
        <f>IF(TBL_Q_05_PAS_C4_B[[#This Row],[Yes or No?]]="Yes", IF(TBL_Q_05_PAS_C4_B[[#This Row],[Supplier’s unique reference to supporting information]]&lt;&gt;"", "Done", "Add"), "Shade")</f>
        <v>Shade</v>
      </c>
      <c r="M27" s="147"/>
      <c r="N27" s="46"/>
      <c r="O27" s="46"/>
      <c r="P27" s="46"/>
      <c r="Q27" s="46"/>
    </row>
    <row r="28" spans="1:17" s="3" customFormat="1" ht="100">
      <c r="A28" s="170" t="s">
        <v>858</v>
      </c>
      <c r="B28" s="50" t="s">
        <v>918</v>
      </c>
      <c r="C28" s="50" t="s">
        <v>920</v>
      </c>
      <c r="D28" s="140"/>
      <c r="E28" s="140"/>
      <c r="F28" s="170" t="s">
        <v>858</v>
      </c>
      <c r="G28" s="143" t="s">
        <v>864</v>
      </c>
      <c r="H28" s="140" t="s">
        <v>467</v>
      </c>
      <c r="I28" s="255" t="str">
        <f>IF(COUNTIF(TBL_Q_05_PAS_C4_A[Response], "No")&gt;2, "Yes", "No")</f>
        <v>No</v>
      </c>
      <c r="J28" s="143" t="str">
        <f>IF(AND(TBL_Q_05_PAS_C4_B[[#This Row],[Include?]]="Yes", TBL_Q_05_PAS_C4_B[[#This Row],[Response?]]="Yes"), "", "Shade")</f>
        <v>Shade</v>
      </c>
      <c r="K28" s="143" t="str">
        <f>IF(TBL_Q_05_PAS_C4_B[[#This Row],[Shade]]="Shade", "", IF(TBL_Q_05_PAS_C4_B[[#This Row],[Yes or No?]]&lt;&gt;"", "Done", "Add"))</f>
        <v/>
      </c>
      <c r="L28" s="166" t="str">
        <f>IF(TBL_Q_05_PAS_C4_B[[#This Row],[Yes or No?]]="Yes", IF(TBL_Q_05_PAS_C4_B[[#This Row],[Supplier’s unique reference to supporting information]]&lt;&gt;"", "Done", "Add"), "Shade")</f>
        <v>Shade</v>
      </c>
      <c r="M28" s="147"/>
      <c r="N28" s="46"/>
      <c r="O28" s="46"/>
      <c r="P28" s="46"/>
      <c r="Q28" s="46"/>
    </row>
    <row r="29" spans="1:17" s="3" customFormat="1" ht="100">
      <c r="A29" s="170" t="s">
        <v>865</v>
      </c>
      <c r="B29" s="39" t="s">
        <v>921</v>
      </c>
      <c r="C29" s="39" t="s">
        <v>1367</v>
      </c>
      <c r="D29" s="152"/>
      <c r="E29" s="152"/>
      <c r="F29" s="170" t="s">
        <v>865</v>
      </c>
      <c r="G29" s="143" t="s">
        <v>866</v>
      </c>
      <c r="H29" s="140" t="s">
        <v>467</v>
      </c>
      <c r="I29" s="255" t="str">
        <f>IF(COUNTIF(TBL_Q_05_PAS_C4_A[Response], "No")&gt;2, "Yes", "No")</f>
        <v>No</v>
      </c>
      <c r="J29" s="143" t="str">
        <f>IF(AND(TBL_Q_05_PAS_C4_B[[#This Row],[Include?]]="Yes", TBL_Q_05_PAS_C4_B[[#This Row],[Response?]]="Yes"), "", "Shade")</f>
        <v>Shade</v>
      </c>
      <c r="K29" s="143" t="str">
        <f>IF(TBL_Q_05_PAS_C4_B[[#This Row],[Shade]]="Shade", "", IF(TBL_Q_05_PAS_C4_B[[#This Row],[Yes or No?]]&lt;&gt;"", "Done", "Add"))</f>
        <v/>
      </c>
      <c r="L29" s="166" t="str">
        <f>IF(TBL_Q_05_PAS_C4_B[[#This Row],[Yes or No?]]="Yes", IF(TBL_Q_05_PAS_C4_B[[#This Row],[Supplier’s unique reference to supporting information]]&lt;&gt;"", "Done", "Add"), "Shade")</f>
        <v>Shade</v>
      </c>
    </row>
    <row r="30" spans="1:17" s="3" customFormat="1" ht="62.5">
      <c r="A30" s="170" t="s">
        <v>899</v>
      </c>
      <c r="B30" s="39" t="s">
        <v>922</v>
      </c>
      <c r="C30" s="39" t="s">
        <v>923</v>
      </c>
      <c r="D30" s="152"/>
      <c r="E30" s="152"/>
      <c r="F30" s="170" t="s">
        <v>899</v>
      </c>
      <c r="G30" s="143" t="s">
        <v>867</v>
      </c>
      <c r="H30" s="140" t="s">
        <v>467</v>
      </c>
      <c r="I30" s="255" t="str">
        <f>IF(COUNTIF(TBL_Q_05_PAS_C4_A[Response], "No")&gt;2, "Yes", "No")</f>
        <v>No</v>
      </c>
      <c r="J30" s="143" t="str">
        <f>IF(AND(TBL_Q_05_PAS_C4_B[[#This Row],[Include?]]="Yes", TBL_Q_05_PAS_C4_B[[#This Row],[Response?]]="Yes"), "", "Shade")</f>
        <v>Shade</v>
      </c>
      <c r="K30" s="143" t="str">
        <f>IF(TBL_Q_05_PAS_C4_B[[#This Row],[Shade]]="Shade", "", IF(TBL_Q_05_PAS_C4_B[[#This Row],[Yes or No?]]&lt;&gt;"", "Done", "Add"))</f>
        <v/>
      </c>
      <c r="L30" s="166" t="str">
        <f>IF(TBL_Q_05_PAS_C4_B[[#This Row],[Yes or No?]]="Yes", IF(TBL_Q_05_PAS_C4_B[[#This Row],[Supplier’s unique reference to supporting information]]&lt;&gt;"", "Done", "Add"), "Shade")</f>
        <v>Shade</v>
      </c>
    </row>
    <row r="31" spans="1:17" s="3" customFormat="1" ht="37.5">
      <c r="A31" s="170" t="s">
        <v>900</v>
      </c>
      <c r="B31" s="39" t="s">
        <v>925</v>
      </c>
      <c r="C31" s="39" t="s">
        <v>924</v>
      </c>
      <c r="D31" s="152"/>
      <c r="E31" s="152"/>
      <c r="F31" s="170" t="s">
        <v>900</v>
      </c>
      <c r="G31" s="143" t="s">
        <v>868</v>
      </c>
      <c r="H31" s="140" t="s">
        <v>467</v>
      </c>
      <c r="I31" s="255" t="str">
        <f>IF(COUNTIF(TBL_Q_05_PAS_C4_A[Response], "No")&gt;2, "Yes", "No")</f>
        <v>No</v>
      </c>
      <c r="J31" s="143" t="str">
        <f>IF(AND(TBL_Q_05_PAS_C4_B[[#This Row],[Include?]]="Yes", TBL_Q_05_PAS_C4_B[[#This Row],[Response?]]="Yes"), "", "Shade")</f>
        <v>Shade</v>
      </c>
      <c r="K31" s="143" t="str">
        <f>IF(TBL_Q_05_PAS_C4_B[[#This Row],[Shade]]="Shade", "", IF(TBL_Q_05_PAS_C4_B[[#This Row],[Yes or No?]]&lt;&gt;"", "Done", "Add"))</f>
        <v/>
      </c>
      <c r="L31" s="166" t="str">
        <f>IF(TBL_Q_05_PAS_C4_B[[#This Row],[Yes or No?]]="Yes", IF(TBL_Q_05_PAS_C4_B[[#This Row],[Supplier’s unique reference to supporting information]]&lt;&gt;"", "Done", "Add"), "Shade")</f>
        <v>Shade</v>
      </c>
    </row>
    <row r="32" spans="1:17" s="3" customFormat="1" ht="50">
      <c r="A32" s="170" t="s">
        <v>901</v>
      </c>
      <c r="B32" s="39" t="s">
        <v>926</v>
      </c>
      <c r="C32" s="39" t="s">
        <v>930</v>
      </c>
      <c r="D32" s="152"/>
      <c r="E32" s="152"/>
      <c r="F32" s="170" t="s">
        <v>901</v>
      </c>
      <c r="G32" s="143" t="s">
        <v>869</v>
      </c>
      <c r="H32" s="140" t="s">
        <v>467</v>
      </c>
      <c r="I32" s="255" t="str">
        <f>IF(COUNTIF(TBL_Q_05_PAS_C4_A[Response], "No")&gt;2, "Yes", "No")</f>
        <v>No</v>
      </c>
      <c r="J32" s="143" t="str">
        <f>IF(AND(TBL_Q_05_PAS_C4_B[[#This Row],[Include?]]="Yes", TBL_Q_05_PAS_C4_B[[#This Row],[Response?]]="Yes"), "", "Shade")</f>
        <v>Shade</v>
      </c>
      <c r="K32" s="143" t="str">
        <f>IF(TBL_Q_05_PAS_C4_B[[#This Row],[Shade]]="Shade", "", IF(TBL_Q_05_PAS_C4_B[[#This Row],[Yes or No?]]&lt;&gt;"", "Done", "Add"))</f>
        <v/>
      </c>
      <c r="L32" s="166" t="str">
        <f>IF(TBL_Q_05_PAS_C4_B[[#This Row],[Yes or No?]]="Yes", IF(TBL_Q_05_PAS_C4_B[[#This Row],[Supplier’s unique reference to supporting information]]&lt;&gt;"", "Done", "Add"), "Shade")</f>
        <v>Shade</v>
      </c>
    </row>
    <row r="33" spans="1:17" s="3" customFormat="1" ht="75">
      <c r="A33" s="170" t="s">
        <v>902</v>
      </c>
      <c r="B33" s="39" t="s">
        <v>927</v>
      </c>
      <c r="C33" s="39" t="s">
        <v>1368</v>
      </c>
      <c r="D33" s="152"/>
      <c r="E33" s="152"/>
      <c r="F33" s="170" t="s">
        <v>902</v>
      </c>
      <c r="G33" s="143" t="s">
        <v>870</v>
      </c>
      <c r="H33" s="140" t="s">
        <v>467</v>
      </c>
      <c r="I33" s="255" t="str">
        <f>IF(COUNTIF(TBL_Q_05_PAS_C4_A[Response], "No")&gt;2, "Yes", "No")</f>
        <v>No</v>
      </c>
      <c r="J33" s="143" t="str">
        <f>IF(AND(TBL_Q_05_PAS_C4_B[[#This Row],[Include?]]="Yes", TBL_Q_05_PAS_C4_B[[#This Row],[Response?]]="Yes"), "", "Shade")</f>
        <v>Shade</v>
      </c>
      <c r="K33" s="143" t="str">
        <f>IF(TBL_Q_05_PAS_C4_B[[#This Row],[Shade]]="Shade", "", IF(TBL_Q_05_PAS_C4_B[[#This Row],[Yes or No?]]&lt;&gt;"", "Done", "Add"))</f>
        <v/>
      </c>
      <c r="L33" s="166" t="str">
        <f>IF(TBL_Q_05_PAS_C4_B[[#This Row],[Yes or No?]]="Yes", IF(TBL_Q_05_PAS_C4_B[[#This Row],[Supplier’s unique reference to supporting information]]&lt;&gt;"", "Done", "Add"), "Shade")</f>
        <v>Shade</v>
      </c>
    </row>
    <row r="34" spans="1:17" s="3" customFormat="1" ht="62.5">
      <c r="A34" s="170" t="s">
        <v>903</v>
      </c>
      <c r="B34" s="39" t="s">
        <v>928</v>
      </c>
      <c r="C34" s="39" t="s">
        <v>931</v>
      </c>
      <c r="D34" s="152"/>
      <c r="E34" s="152"/>
      <c r="F34" s="170" t="s">
        <v>903</v>
      </c>
      <c r="G34" s="143" t="s">
        <v>871</v>
      </c>
      <c r="H34" s="140" t="s">
        <v>467</v>
      </c>
      <c r="I34" s="255" t="str">
        <f>IF(COUNTIF(TBL_Q_05_PAS_C4_A[Response], "No")&gt;2, "Yes", "No")</f>
        <v>No</v>
      </c>
      <c r="J34" s="143" t="str">
        <f>IF(AND(TBL_Q_05_PAS_C4_B[[#This Row],[Include?]]="Yes", TBL_Q_05_PAS_C4_B[[#This Row],[Response?]]="Yes"), "", "Shade")</f>
        <v>Shade</v>
      </c>
      <c r="K34" s="143" t="str">
        <f>IF(TBL_Q_05_PAS_C4_B[[#This Row],[Shade]]="Shade", "", IF(TBL_Q_05_PAS_C4_B[[#This Row],[Yes or No?]]&lt;&gt;"", "Done", "Add"))</f>
        <v/>
      </c>
      <c r="L34" s="166" t="str">
        <f>IF(TBL_Q_05_PAS_C4_B[[#This Row],[Yes or No?]]="Yes", IF(TBL_Q_05_PAS_C4_B[[#This Row],[Supplier’s unique reference to supporting information]]&lt;&gt;"", "Done", "Add"), "Shade")</f>
        <v>Shade</v>
      </c>
    </row>
    <row r="35" spans="1:17" s="3" customFormat="1" ht="187.5">
      <c r="A35" s="170" t="s">
        <v>904</v>
      </c>
      <c r="B35" s="39" t="s">
        <v>929</v>
      </c>
      <c r="C35" s="39" t="s">
        <v>1361</v>
      </c>
      <c r="D35" s="152"/>
      <c r="E35" s="152"/>
      <c r="F35" s="170" t="s">
        <v>904</v>
      </c>
      <c r="G35" s="143" t="s">
        <v>872</v>
      </c>
      <c r="H35" s="140" t="s">
        <v>467</v>
      </c>
      <c r="I35" s="255" t="str">
        <f>IF(COUNTIF(TBL_Q_05_PAS_C4_A[Response], "No")&gt;2, "Yes", "No")</f>
        <v>No</v>
      </c>
      <c r="J35" s="143" t="str">
        <f>IF(AND(TBL_Q_05_PAS_C4_B[[#This Row],[Include?]]="Yes", TBL_Q_05_PAS_C4_B[[#This Row],[Response?]]="Yes"), "", "Shade")</f>
        <v>Shade</v>
      </c>
      <c r="K35" s="143" t="str">
        <f>IF(TBL_Q_05_PAS_C4_B[[#This Row],[Shade]]="Shade", "", IF(TBL_Q_05_PAS_C4_B[[#This Row],[Yes or No?]]&lt;&gt;"", "Done", "Add"))</f>
        <v/>
      </c>
      <c r="L35" s="166" t="str">
        <f>IF(TBL_Q_05_PAS_C4_B[[#This Row],[Yes or No?]]="Yes", IF(TBL_Q_05_PAS_C4_B[[#This Row],[Supplier’s unique reference to supporting information]]&lt;&gt;"", "Done", "Add"), "Shade")</f>
        <v>Shade</v>
      </c>
    </row>
    <row r="36" spans="1:17" s="3" customFormat="1" ht="14">
      <c r="A36" s="52"/>
      <c r="B36" s="52"/>
      <c r="C36" s="45"/>
      <c r="L36" s="36"/>
    </row>
    <row r="37" spans="1:17" ht="90" customHeight="1">
      <c r="A37" s="37" t="s">
        <v>905</v>
      </c>
      <c r="B37" s="696" t="s">
        <v>1362</v>
      </c>
      <c r="C37" s="696"/>
      <c r="D37" s="696"/>
      <c r="E37" s="696"/>
    </row>
    <row r="38" spans="1:17">
      <c r="B38" s="58"/>
      <c r="D38" s="58"/>
      <c r="E38" s="58"/>
    </row>
    <row r="39" spans="1:17">
      <c r="A39" s="37" t="s">
        <v>941</v>
      </c>
      <c r="B39" s="696" t="s">
        <v>944</v>
      </c>
      <c r="C39" s="696"/>
      <c r="D39" s="696"/>
      <c r="E39" s="696"/>
    </row>
    <row r="40" spans="1:17">
      <c r="B40" s="58"/>
    </row>
    <row r="41" spans="1:17">
      <c r="A41" s="37" t="s">
        <v>942</v>
      </c>
      <c r="B41" s="696" t="s">
        <v>943</v>
      </c>
      <c r="C41" s="676"/>
      <c r="D41" s="676"/>
      <c r="E41" s="676"/>
    </row>
    <row r="42" spans="1:17">
      <c r="B42" s="58"/>
    </row>
    <row r="43" spans="1:17" s="3" customFormat="1" ht="14">
      <c r="A43" s="63" t="s">
        <v>585</v>
      </c>
      <c r="B43" s="63" t="s">
        <v>853</v>
      </c>
      <c r="C43" s="63" t="s">
        <v>940</v>
      </c>
      <c r="D43" s="63" t="s">
        <v>844</v>
      </c>
      <c r="E43" s="63" t="s">
        <v>477</v>
      </c>
      <c r="F43" s="156" t="s">
        <v>714</v>
      </c>
      <c r="G43" s="156" t="s">
        <v>90</v>
      </c>
      <c r="H43" s="115" t="s">
        <v>324</v>
      </c>
      <c r="I43" s="115" t="s">
        <v>1351</v>
      </c>
      <c r="J43" s="156" t="s">
        <v>88</v>
      </c>
      <c r="K43" s="156" t="s">
        <v>1348</v>
      </c>
      <c r="L43" s="156" t="s">
        <v>1349</v>
      </c>
      <c r="M43" s="147"/>
      <c r="N43" s="10"/>
      <c r="O43" s="10"/>
      <c r="P43" s="10"/>
      <c r="Q43" s="10"/>
    </row>
    <row r="44" spans="1:17" s="3" customFormat="1" ht="25">
      <c r="A44" s="171" t="s">
        <v>905</v>
      </c>
      <c r="B44" s="50" t="s">
        <v>932</v>
      </c>
      <c r="C44" s="50" t="s">
        <v>1363</v>
      </c>
      <c r="D44" s="140"/>
      <c r="E44" s="140" t="s">
        <v>939</v>
      </c>
      <c r="F44" s="154" t="s">
        <v>935</v>
      </c>
      <c r="G44" s="143" t="s">
        <v>873</v>
      </c>
      <c r="H44" s="140" t="s">
        <v>467</v>
      </c>
      <c r="I44" s="253" t="str">
        <f>IF(COUNTIF(TBL_Q_05_PAS_C4_A[Response], "No")&gt;2, "Yes", "No")</f>
        <v>No</v>
      </c>
      <c r="J44" s="143" t="str">
        <f>IF(AND(TBL_Q_05_PAS_C4_C[[#This Row],[Include?]]="Yes", TBL_Q_05_PAS_C4_C[[#This Row],[Response?]]="Yes"), "", "Shade")</f>
        <v>Shade</v>
      </c>
      <c r="K44" s="143" t="str">
        <f>IF(TBL_Q_05_PAS_C4_C[[#This Row],[Yes or No?]]&lt;&gt;"", "Done", IF(COUNTIF(TBL_Q_05_PAS_C4_C[Yes or No?], "Yes")&gt;0, "", "Add"))</f>
        <v>Add</v>
      </c>
      <c r="L44" s="254" t="s">
        <v>88</v>
      </c>
      <c r="M44" s="147"/>
      <c r="N44" s="46"/>
      <c r="O44" s="46"/>
      <c r="P44" s="46"/>
      <c r="Q44" s="46"/>
    </row>
    <row r="45" spans="1:17" s="3" customFormat="1" ht="25">
      <c r="A45" s="60"/>
      <c r="B45" s="50" t="s">
        <v>933</v>
      </c>
      <c r="C45" s="50" t="s">
        <v>1365</v>
      </c>
      <c r="D45" s="140"/>
      <c r="E45" s="140" t="s">
        <v>939</v>
      </c>
      <c r="F45" s="154" t="s">
        <v>936</v>
      </c>
      <c r="G45" s="143" t="s">
        <v>874</v>
      </c>
      <c r="H45" s="140" t="s">
        <v>467</v>
      </c>
      <c r="I45" s="253" t="str">
        <f>IF(COUNTIF(TBL_Q_05_PAS_C4_A[Response], "No")&gt;2, "Yes", "No")</f>
        <v>No</v>
      </c>
      <c r="J45" s="143" t="str">
        <f>IF(AND(TBL_Q_05_PAS_C4_C[[#This Row],[Include?]]="Yes", TBL_Q_05_PAS_C4_C[[#This Row],[Response?]]="Yes"), "", "Shade")</f>
        <v>Shade</v>
      </c>
      <c r="K45" s="143" t="str">
        <f>IF(TBL_Q_05_PAS_C4_C[[#This Row],[Yes or No?]]&lt;&gt;"", "Done", IF(COUNTIF(TBL_Q_05_PAS_C4_C[Yes or No?], "Yes")&gt;0, "", "Add"))</f>
        <v>Add</v>
      </c>
      <c r="L45" s="254" t="s">
        <v>88</v>
      </c>
      <c r="M45" s="147"/>
      <c r="N45" s="46"/>
      <c r="O45" s="46"/>
      <c r="P45" s="46"/>
      <c r="Q45" s="46"/>
    </row>
    <row r="46" spans="1:17" s="3" customFormat="1" ht="25">
      <c r="A46" s="60"/>
      <c r="B46" s="50" t="s">
        <v>934</v>
      </c>
      <c r="C46" s="50" t="s">
        <v>1364</v>
      </c>
      <c r="D46" s="140"/>
      <c r="E46" s="140" t="s">
        <v>939</v>
      </c>
      <c r="F46" s="154" t="s">
        <v>937</v>
      </c>
      <c r="G46" s="143" t="s">
        <v>875</v>
      </c>
      <c r="H46" s="140" t="s">
        <v>467</v>
      </c>
      <c r="I46" s="253" t="str">
        <f>IF(COUNTIF(TBL_Q_05_PAS_C4_A[Response], "No")&gt;2, "Yes", "No")</f>
        <v>No</v>
      </c>
      <c r="J46" s="143" t="str">
        <f>IF(AND(TBL_Q_05_PAS_C4_C[[#This Row],[Include?]]="Yes", TBL_Q_05_PAS_C4_C[[#This Row],[Response?]]="Yes"), "", "Shade")</f>
        <v>Shade</v>
      </c>
      <c r="K46" s="143" t="str">
        <f>IF(TBL_Q_05_PAS_C4_C[[#This Row],[Yes or No?]]&lt;&gt;"", "Done", IF(COUNTIF(TBL_Q_05_PAS_C4_C[Yes or No?], "Yes")&gt;0, "", "Add"))</f>
        <v>Add</v>
      </c>
      <c r="L46" s="254" t="s">
        <v>88</v>
      </c>
      <c r="M46" s="147"/>
      <c r="N46" s="46"/>
      <c r="O46" s="46"/>
      <c r="P46" s="46"/>
      <c r="Q46" s="46"/>
    </row>
    <row r="47" spans="1:17" s="3" customFormat="1" ht="25">
      <c r="A47" s="59"/>
      <c r="B47" s="50" t="s">
        <v>934</v>
      </c>
      <c r="C47" s="50" t="s">
        <v>1366</v>
      </c>
      <c r="D47" s="140"/>
      <c r="E47" s="140" t="s">
        <v>939</v>
      </c>
      <c r="F47" s="154" t="s">
        <v>938</v>
      </c>
      <c r="G47" s="143" t="s">
        <v>876</v>
      </c>
      <c r="H47" s="140" t="s">
        <v>467</v>
      </c>
      <c r="I47" s="253" t="str">
        <f>IF(COUNTIF(TBL_Q_05_PAS_C4_A[Response], "No")&gt;2, "Yes", "No")</f>
        <v>No</v>
      </c>
      <c r="J47" s="143" t="str">
        <f>IF(AND(TBL_Q_05_PAS_C4_C[[#This Row],[Include?]]="Yes", TBL_Q_05_PAS_C4_C[[#This Row],[Response?]]="Yes"), "", "Shade")</f>
        <v>Shade</v>
      </c>
      <c r="K47" s="143" t="str">
        <f>IF(TBL_Q_05_PAS_C4_C[[#This Row],[Yes or No?]]&lt;&gt;"", "Done", IF(COUNTIF(TBL_Q_05_PAS_C4_C[Yes or No?], "Yes")&gt;0, "", "Add"))</f>
        <v>Add</v>
      </c>
      <c r="L47" s="254" t="s">
        <v>88</v>
      </c>
    </row>
    <row r="48" spans="1:17" s="3" customFormat="1" ht="14">
      <c r="A48" s="52"/>
      <c r="B48" s="52"/>
      <c r="C48" s="45"/>
      <c r="L48" s="36"/>
    </row>
    <row r="49" spans="1:12" s="3" customFormat="1" ht="26">
      <c r="A49" s="63" t="s">
        <v>585</v>
      </c>
      <c r="B49" s="63" t="s">
        <v>146</v>
      </c>
      <c r="C49" s="63" t="s">
        <v>857</v>
      </c>
      <c r="D49" s="63" t="s">
        <v>844</v>
      </c>
      <c r="E49" s="63" t="s">
        <v>1331</v>
      </c>
      <c r="F49" s="156" t="s">
        <v>714</v>
      </c>
      <c r="G49" s="156" t="s">
        <v>90</v>
      </c>
      <c r="H49" s="115" t="s">
        <v>324</v>
      </c>
      <c r="I49" s="115" t="s">
        <v>1351</v>
      </c>
      <c r="J49" s="156" t="s">
        <v>88</v>
      </c>
      <c r="K49" s="156" t="s">
        <v>1348</v>
      </c>
      <c r="L49" s="156" t="s">
        <v>1349</v>
      </c>
    </row>
    <row r="50" spans="1:12" s="3" customFormat="1" ht="87.5">
      <c r="A50" s="256" t="s">
        <v>906</v>
      </c>
      <c r="B50" s="257" t="s">
        <v>945</v>
      </c>
      <c r="C50" s="257" t="s">
        <v>946</v>
      </c>
      <c r="D50" s="140"/>
      <c r="E50" s="140"/>
      <c r="F50" s="170" t="s">
        <v>906</v>
      </c>
      <c r="G50" s="143" t="s">
        <v>877</v>
      </c>
      <c r="H50" s="140" t="s">
        <v>467</v>
      </c>
      <c r="I50" s="253" t="str">
        <f>IF(COUNTIF(TBL_Q_05_PAS_C4_A[Check_2], "Shade")&gt;0, IF(OR($D$44="Yes", $D$45="Yes"), "Yes", "No"), "No")</f>
        <v>No</v>
      </c>
      <c r="J50" s="143" t="str">
        <f>IF(AND(TBL_Q_05_PAS_C4_D[[#This Row],[Include?]]="Yes", TBL_Q_05_PAS_C4_D[[#This Row],[Response?]]="Yes"), "", "Shade")</f>
        <v>Shade</v>
      </c>
      <c r="K50" s="143" t="str">
        <f>IF(TBL_Q_05_PAS_C4_D[[#This Row],[Shade]]="Shade", "", IF(TBL_Q_05_PAS_C4_D[[#This Row],[Yes or No?]]&lt;&gt;"", "Done", "Add"))</f>
        <v/>
      </c>
      <c r="L50" s="166"/>
    </row>
    <row r="51" spans="1:12" s="3" customFormat="1" ht="50.5">
      <c r="A51" s="256" t="s">
        <v>907</v>
      </c>
      <c r="B51" s="257" t="s">
        <v>947</v>
      </c>
      <c r="C51" s="257" t="s">
        <v>948</v>
      </c>
      <c r="D51" s="140"/>
      <c r="E51" s="140"/>
      <c r="F51" s="170" t="s">
        <v>907</v>
      </c>
      <c r="G51" s="143" t="s">
        <v>878</v>
      </c>
      <c r="H51" s="140" t="s">
        <v>467</v>
      </c>
      <c r="I51" s="253" t="str">
        <f>IF(COUNTIF(TBL_Q_05_PAS_C4_A[Check_2], "Shade")&gt;0, IF(OR($D$44="Yes", $D$45="Yes"), "Yes", "No"), "No")</f>
        <v>No</v>
      </c>
      <c r="J51" s="143" t="str">
        <f>IF(AND(TBL_Q_05_PAS_C4_D[[#This Row],[Include?]]="Yes", TBL_Q_05_PAS_C4_D[[#This Row],[Response?]]="Yes"), "", "Shade")</f>
        <v>Shade</v>
      </c>
      <c r="K51" s="143" t="str">
        <f>IF(TBL_Q_05_PAS_C4_D[[#This Row],[Shade]]="Shade", "", IF(TBL_Q_05_PAS_C4_D[[#This Row],[Yes or No?]]&lt;&gt;"", "Done", "Add"))</f>
        <v/>
      </c>
      <c r="L51" s="166"/>
    </row>
    <row r="52" spans="1:12" s="3" customFormat="1" ht="75">
      <c r="A52" s="256" t="s">
        <v>908</v>
      </c>
      <c r="B52" s="257" t="s">
        <v>950</v>
      </c>
      <c r="C52" s="257" t="s">
        <v>949</v>
      </c>
      <c r="D52" s="140"/>
      <c r="E52" s="140"/>
      <c r="F52" s="170" t="s">
        <v>908</v>
      </c>
      <c r="G52" s="143" t="s">
        <v>879</v>
      </c>
      <c r="H52" s="140" t="s">
        <v>467</v>
      </c>
      <c r="I52" s="253" t="str">
        <f>IF(COUNTIF(TBL_Q_05_PAS_C4_A[Check_2], "Shade")&gt;0, IF(OR($D$44="Yes", $D$45="Yes"), "Yes", "No"), "No")</f>
        <v>No</v>
      </c>
      <c r="J52" s="143" t="str">
        <f>IF(AND(TBL_Q_05_PAS_C4_D[[#This Row],[Include?]]="Yes", TBL_Q_05_PAS_C4_D[[#This Row],[Response?]]="Yes"), "", "Shade")</f>
        <v>Shade</v>
      </c>
      <c r="K52" s="143" t="str">
        <f>IF(TBL_Q_05_PAS_C4_D[[#This Row],[Shade]]="Shade", "", IF(TBL_Q_05_PAS_C4_D[[#This Row],[Yes or No?]]&lt;&gt;"", "Done", "Add"))</f>
        <v/>
      </c>
      <c r="L52" s="166"/>
    </row>
    <row r="53" spans="1:12" s="3" customFormat="1" ht="50.5">
      <c r="A53" s="256" t="s">
        <v>909</v>
      </c>
      <c r="B53" s="257" t="s">
        <v>951</v>
      </c>
      <c r="C53" s="258" t="s">
        <v>952</v>
      </c>
      <c r="D53" s="152"/>
      <c r="E53" s="152"/>
      <c r="F53" s="170" t="s">
        <v>909</v>
      </c>
      <c r="G53" s="143" t="s">
        <v>880</v>
      </c>
      <c r="H53" s="140" t="s">
        <v>467</v>
      </c>
      <c r="I53" s="253" t="str">
        <f>IF(COUNTIF(TBL_Q_05_PAS_C4_A[Check_2], "Shade")&gt;0, IF(OR($D$44="Yes", $D$45="Yes"), "Yes", "No"), "No")</f>
        <v>No</v>
      </c>
      <c r="J53" s="143" t="str">
        <f>IF(AND(TBL_Q_05_PAS_C4_D[[#This Row],[Include?]]="Yes", TBL_Q_05_PAS_C4_D[[#This Row],[Response?]]="Yes"), "", "Shade")</f>
        <v>Shade</v>
      </c>
      <c r="K53" s="143" t="str">
        <f>IF(TBL_Q_05_PAS_C4_D[[#This Row],[Shade]]="Shade", "", IF(TBL_Q_05_PAS_C4_D[[#This Row],[Yes or No?]]&lt;&gt;"", "Done", "Add"))</f>
        <v/>
      </c>
      <c r="L53" s="167"/>
    </row>
    <row r="54" spans="1:12" s="3" customFormat="1" ht="100">
      <c r="A54" s="259" t="s">
        <v>910</v>
      </c>
      <c r="B54" s="260" t="s">
        <v>953</v>
      </c>
      <c r="C54" s="260" t="s">
        <v>1370</v>
      </c>
      <c r="D54" s="152"/>
      <c r="E54" s="152"/>
      <c r="F54" s="170" t="s">
        <v>954</v>
      </c>
      <c r="G54" s="143" t="s">
        <v>881</v>
      </c>
      <c r="H54" s="140" t="s">
        <v>467</v>
      </c>
      <c r="I54" s="253" t="str">
        <f>IF(COUNTIF(TBL_Q_05_PAS_C4_A[Check_2], "Shade")&gt;0, IF($D$45="Yes", "Yes", "No"), "No")</f>
        <v>No</v>
      </c>
      <c r="J54" s="143" t="str">
        <f>IF(AND(TBL_Q_05_PAS_C4_D[[#This Row],[Include?]]="Yes", TBL_Q_05_PAS_C4_D[[#This Row],[Response?]]="Yes"), "", "Shade")</f>
        <v>Shade</v>
      </c>
      <c r="K54" s="143" t="str">
        <f>IF(TBL_Q_05_PAS_C4_D[[#This Row],[Shade]]="Shade", "", IF(TBL_Q_05_PAS_C4_D[[#This Row],[Yes or No?]]&lt;&gt;"", "Done", "Add"))</f>
        <v/>
      </c>
      <c r="L54" s="167"/>
    </row>
    <row r="55" spans="1:12" s="3" customFormat="1" ht="14">
      <c r="A55" s="261"/>
      <c r="B55" s="261"/>
      <c r="C55" s="262" t="s">
        <v>959</v>
      </c>
      <c r="D55" s="140"/>
      <c r="E55" s="140"/>
      <c r="F55" s="170" t="s">
        <v>955</v>
      </c>
      <c r="G55" s="143" t="s">
        <v>882</v>
      </c>
      <c r="H55" s="140" t="s">
        <v>467</v>
      </c>
      <c r="I55" s="253" t="str">
        <f>IF(COUNTIF(TBL_Q_05_PAS_C4_A[Check_2], "Shade")&gt;0, IF($D$45="Yes", "Yes", "No"), "No")</f>
        <v>No</v>
      </c>
      <c r="J55" s="143" t="str">
        <f>IF(AND(TBL_Q_05_PAS_C4_D[[#This Row],[Include?]]="Yes", TBL_Q_05_PAS_C4_D[[#This Row],[Response?]]="Yes"), "", "Shade")</f>
        <v>Shade</v>
      </c>
      <c r="K55" s="143" t="str">
        <f>IF(TBL_Q_05_PAS_C4_D[[#This Row],[Shade]]="Shade", "", IF(TBL_Q_05_PAS_C4_D[[#This Row],[Yes or No?]]&lt;&gt;"", "Done", "Add"))</f>
        <v/>
      </c>
      <c r="L55" s="166"/>
    </row>
    <row r="56" spans="1:12" s="3" customFormat="1" ht="25">
      <c r="A56" s="261"/>
      <c r="B56" s="261"/>
      <c r="C56" s="262" t="s">
        <v>960</v>
      </c>
      <c r="D56" s="140"/>
      <c r="E56" s="140"/>
      <c r="F56" s="170" t="s">
        <v>956</v>
      </c>
      <c r="G56" s="143" t="s">
        <v>883</v>
      </c>
      <c r="H56" s="140" t="s">
        <v>467</v>
      </c>
      <c r="I56" s="253" t="str">
        <f>IF(COUNTIF(TBL_Q_05_PAS_C4_A[Check_2], "Shade")&gt;0, IF($D$45="Yes", "Yes", "No"), "No")</f>
        <v>No</v>
      </c>
      <c r="J56" s="143" t="str">
        <f>IF(AND(TBL_Q_05_PAS_C4_D[[#This Row],[Include?]]="Yes", TBL_Q_05_PAS_C4_D[[#This Row],[Response?]]="Yes"), "", "Shade")</f>
        <v>Shade</v>
      </c>
      <c r="K56" s="143" t="str">
        <f>IF(TBL_Q_05_PAS_C4_D[[#This Row],[Shade]]="Shade", "", IF(TBL_Q_05_PAS_C4_D[[#This Row],[Yes or No?]]&lt;&gt;"", "Done", "Add"))</f>
        <v/>
      </c>
      <c r="L56" s="166"/>
    </row>
    <row r="57" spans="1:12" s="3" customFormat="1" ht="14">
      <c r="A57" s="261"/>
      <c r="B57" s="261"/>
      <c r="C57" s="262" t="s">
        <v>961</v>
      </c>
      <c r="D57" s="140"/>
      <c r="E57" s="140"/>
      <c r="F57" s="170" t="s">
        <v>957</v>
      </c>
      <c r="G57" s="143" t="s">
        <v>884</v>
      </c>
      <c r="H57" s="140" t="s">
        <v>467</v>
      </c>
      <c r="I57" s="253" t="str">
        <f>IF(COUNTIF(TBL_Q_05_PAS_C4_A[Check_2], "Shade")&gt;0, IF($D$45="Yes", "Yes", "No"), "No")</f>
        <v>No</v>
      </c>
      <c r="J57" s="143" t="str">
        <f>IF(AND(TBL_Q_05_PAS_C4_D[[#This Row],[Include?]]="Yes", TBL_Q_05_PAS_C4_D[[#This Row],[Response?]]="Yes"), "", "Shade")</f>
        <v>Shade</v>
      </c>
      <c r="K57" s="143" t="str">
        <f>IF(TBL_Q_05_PAS_C4_D[[#This Row],[Shade]]="Shade", "", IF(TBL_Q_05_PAS_C4_D[[#This Row],[Yes or No?]]&lt;&gt;"", "Done", "Add"))</f>
        <v/>
      </c>
      <c r="L57" s="166"/>
    </row>
    <row r="58" spans="1:12" s="3" customFormat="1" ht="14">
      <c r="A58" s="263"/>
      <c r="B58" s="263"/>
      <c r="C58" s="262" t="s">
        <v>962</v>
      </c>
      <c r="D58" s="140"/>
      <c r="E58" s="140"/>
      <c r="F58" s="170" t="s">
        <v>958</v>
      </c>
      <c r="G58" s="143" t="s">
        <v>885</v>
      </c>
      <c r="H58" s="140" t="s">
        <v>467</v>
      </c>
      <c r="I58" s="253" t="str">
        <f>IF(COUNTIF(TBL_Q_05_PAS_C4_A[Check_2], "Shade")&gt;0, IF($D$45="Yes", "Yes", "No"), "No")</f>
        <v>No</v>
      </c>
      <c r="J58" s="143" t="str">
        <f>IF(AND(TBL_Q_05_PAS_C4_D[[#This Row],[Include?]]="Yes", TBL_Q_05_PAS_C4_D[[#This Row],[Response?]]="Yes"), "", "Shade")</f>
        <v>Shade</v>
      </c>
      <c r="K58" s="143" t="str">
        <f>IF(TBL_Q_05_PAS_C4_D[[#This Row],[Shade]]="Shade", "", IF(TBL_Q_05_PAS_C4_D[[#This Row],[Yes or No?]]&lt;&gt;"", "Done", "Add"))</f>
        <v/>
      </c>
      <c r="L58" s="166"/>
    </row>
    <row r="59" spans="1:12" s="3" customFormat="1" ht="112.5">
      <c r="A59" s="264" t="s">
        <v>911</v>
      </c>
      <c r="B59" s="265" t="s">
        <v>967</v>
      </c>
      <c r="C59" s="265" t="s">
        <v>1369</v>
      </c>
      <c r="D59" s="152"/>
      <c r="E59" s="152"/>
      <c r="F59" s="170" t="s">
        <v>963</v>
      </c>
      <c r="G59" s="143" t="s">
        <v>886</v>
      </c>
      <c r="H59" s="140" t="s">
        <v>467</v>
      </c>
      <c r="I59" s="253" t="str">
        <f>IF(COUNTIF(TBL_Q_05_PAS_C4_A[Check_2], "Shade")&gt;0, IF(OR($D$46="Yes", $D$47="Yes"), "Yes", "No"), "No")</f>
        <v>No</v>
      </c>
      <c r="J59" s="143" t="str">
        <f>IF(AND(TBL_Q_05_PAS_C4_D[[#This Row],[Include?]]="Yes", TBL_Q_05_PAS_C4_D[[#This Row],[Response?]]="Yes"), "", "Shade")</f>
        <v>Shade</v>
      </c>
      <c r="K59" s="143" t="str">
        <f>IF(TBL_Q_05_PAS_C4_D[[#This Row],[Shade]]="Shade", "", IF(TBL_Q_05_PAS_C4_D[[#This Row],[Yes or No?]]&lt;&gt;"", "Done", "Add"))</f>
        <v/>
      </c>
      <c r="L59" s="167"/>
    </row>
    <row r="60" spans="1:12" s="3" customFormat="1" ht="125">
      <c r="A60" s="266"/>
      <c r="B60" s="266"/>
      <c r="C60" s="267" t="s">
        <v>968</v>
      </c>
      <c r="D60" s="140"/>
      <c r="E60" s="140"/>
      <c r="F60" s="170" t="s">
        <v>964</v>
      </c>
      <c r="G60" s="143" t="s">
        <v>887</v>
      </c>
      <c r="H60" s="140" t="s">
        <v>467</v>
      </c>
      <c r="I60" s="253" t="str">
        <f>IF(COUNTIF(TBL_Q_05_PAS_C4_A[Check_2], "Shade")&gt;0, IF(OR($D$46="Yes", $D$47="Yes"), "Yes", "No"), "No")</f>
        <v>No</v>
      </c>
      <c r="J60" s="143" t="str">
        <f>IF(AND(TBL_Q_05_PAS_C4_D[[#This Row],[Include?]]="Yes", TBL_Q_05_PAS_C4_D[[#This Row],[Response?]]="Yes"), "", "Shade")</f>
        <v>Shade</v>
      </c>
      <c r="K60" s="143" t="str">
        <f>IF(TBL_Q_05_PAS_C4_D[[#This Row],[Shade]]="Shade", "", IF(TBL_Q_05_PAS_C4_D[[#This Row],[Yes or No?]]&lt;&gt;"", "Done", "Add"))</f>
        <v/>
      </c>
      <c r="L60" s="166"/>
    </row>
    <row r="61" spans="1:12" s="3" customFormat="1" ht="50">
      <c r="A61" s="266"/>
      <c r="B61" s="266"/>
      <c r="C61" s="267" t="s">
        <v>969</v>
      </c>
      <c r="D61" s="140"/>
      <c r="E61" s="140"/>
      <c r="F61" s="170" t="s">
        <v>965</v>
      </c>
      <c r="G61" s="143" t="s">
        <v>888</v>
      </c>
      <c r="H61" s="140" t="s">
        <v>467</v>
      </c>
      <c r="I61" s="253" t="str">
        <f>IF(COUNTIF(TBL_Q_05_PAS_C4_A[Check_2], "Shade")&gt;0, IF(OR($D$46="Yes", $D$47="Yes"), "Yes", "No"), "No")</f>
        <v>No</v>
      </c>
      <c r="J61" s="143" t="str">
        <f>IF(AND(TBL_Q_05_PAS_C4_D[[#This Row],[Include?]]="Yes", TBL_Q_05_PAS_C4_D[[#This Row],[Response?]]="Yes"), "", "Shade")</f>
        <v>Shade</v>
      </c>
      <c r="K61" s="143" t="str">
        <f>IF(TBL_Q_05_PAS_C4_D[[#This Row],[Shade]]="Shade", "", IF(TBL_Q_05_PAS_C4_D[[#This Row],[Yes or No?]]&lt;&gt;"", "Done", "Add"))</f>
        <v/>
      </c>
      <c r="L61" s="166"/>
    </row>
    <row r="62" spans="1:12" s="3" customFormat="1" ht="25">
      <c r="A62" s="268"/>
      <c r="B62" s="268"/>
      <c r="C62" s="267" t="s">
        <v>970</v>
      </c>
      <c r="D62" s="140"/>
      <c r="E62" s="140"/>
      <c r="F62" s="170" t="s">
        <v>966</v>
      </c>
      <c r="G62" s="143" t="s">
        <v>889</v>
      </c>
      <c r="H62" s="140" t="s">
        <v>467</v>
      </c>
      <c r="I62" s="253" t="str">
        <f>IF(COUNTIF(TBL_Q_05_PAS_C4_A[Check_2], "Shade")&gt;0, IF(OR($D$46="Yes", $D$47="Yes"), "Yes", "No"), "No")</f>
        <v>No</v>
      </c>
      <c r="J62" s="143" t="str">
        <f>IF(AND(TBL_Q_05_PAS_C4_D[[#This Row],[Include?]]="Yes", TBL_Q_05_PAS_C4_D[[#This Row],[Response?]]="Yes"), "", "Shade")</f>
        <v>Shade</v>
      </c>
      <c r="K62" s="143" t="str">
        <f>IF(TBL_Q_05_PAS_C4_D[[#This Row],[Shade]]="Shade", "", IF(TBL_Q_05_PAS_C4_D[[#This Row],[Yes or No?]]&lt;&gt;"", "Done", "Add"))</f>
        <v/>
      </c>
      <c r="L62" s="166"/>
    </row>
    <row r="63" spans="1:12" s="3" customFormat="1" ht="50.5">
      <c r="A63" s="269" t="s">
        <v>912</v>
      </c>
      <c r="B63" s="267" t="s">
        <v>971</v>
      </c>
      <c r="C63" s="265" t="s">
        <v>972</v>
      </c>
      <c r="D63" s="152"/>
      <c r="E63" s="152"/>
      <c r="F63" s="170" t="s">
        <v>912</v>
      </c>
      <c r="G63" s="143" t="s">
        <v>890</v>
      </c>
      <c r="H63" s="140" t="s">
        <v>467</v>
      </c>
      <c r="I63" s="253" t="str">
        <f>IF(COUNTIF(TBL_Q_05_PAS_C4_A[Check_2], "Shade")&gt;0, IF(OR($D$46="Yes", $D$47="Yes"), "Yes", "No"), "No")</f>
        <v>No</v>
      </c>
      <c r="J63" s="143" t="str">
        <f>IF(AND(TBL_Q_05_PAS_C4_D[[#This Row],[Include?]]="Yes", TBL_Q_05_PAS_C4_D[[#This Row],[Response?]]="Yes"), "", "Shade")</f>
        <v>Shade</v>
      </c>
      <c r="K63" s="143" t="str">
        <f>IF(TBL_Q_05_PAS_C4_D[[#This Row],[Shade]]="Shade", "", IF(TBL_Q_05_PAS_C4_D[[#This Row],[Yes or No?]]&lt;&gt;"", "Done", "Add"))</f>
        <v/>
      </c>
      <c r="L63" s="167"/>
    </row>
    <row r="64" spans="1:12" s="3" customFormat="1" ht="75">
      <c r="A64" s="270" t="s">
        <v>913</v>
      </c>
      <c r="B64" s="271" t="s">
        <v>973</v>
      </c>
      <c r="C64" s="271" t="s">
        <v>1371</v>
      </c>
      <c r="D64" s="152"/>
      <c r="E64" s="152"/>
      <c r="F64" s="170" t="s">
        <v>974</v>
      </c>
      <c r="G64" s="143" t="s">
        <v>891</v>
      </c>
      <c r="H64" s="140" t="s">
        <v>467</v>
      </c>
      <c r="I64" s="253" t="str">
        <f>IF(COUNTIF(TBL_Q_05_PAS_C4_A[Check_2], "Shade")&gt;0, IF($D$47="Yes", "Yes", "No"), "No")</f>
        <v>No</v>
      </c>
      <c r="J64" s="143" t="str">
        <f>IF(AND(TBL_Q_05_PAS_C4_D[[#This Row],[Include?]]="Yes", TBL_Q_05_PAS_C4_D[[#This Row],[Response?]]="Yes"), "", "Shade")</f>
        <v>Shade</v>
      </c>
      <c r="K64" s="143" t="str">
        <f>IF(TBL_Q_05_PAS_C4_D[[#This Row],[Shade]]="Shade", "", IF(TBL_Q_05_PAS_C4_D[[#This Row],[Yes or No?]]&lt;&gt;"", "Done", "Add"))</f>
        <v/>
      </c>
      <c r="L64" s="167"/>
    </row>
    <row r="65" spans="1:12" s="3" customFormat="1" ht="37.5">
      <c r="A65" s="272"/>
      <c r="B65" s="272"/>
      <c r="C65" s="273" t="s">
        <v>980</v>
      </c>
      <c r="D65" s="140"/>
      <c r="E65" s="140"/>
      <c r="F65" s="170" t="s">
        <v>975</v>
      </c>
      <c r="G65" s="143" t="s">
        <v>892</v>
      </c>
      <c r="H65" s="140" t="s">
        <v>467</v>
      </c>
      <c r="I65" s="253" t="str">
        <f>IF(COUNTIF(TBL_Q_05_PAS_C4_A[Check_2], "Shade")&gt;0, IF($D$47="Yes", "Yes", "No"), "No")</f>
        <v>No</v>
      </c>
      <c r="J65" s="143" t="str">
        <f>IF(AND(TBL_Q_05_PAS_C4_D[[#This Row],[Include?]]="Yes", TBL_Q_05_PAS_C4_D[[#This Row],[Response?]]="Yes"), "", "Shade")</f>
        <v>Shade</v>
      </c>
      <c r="K65" s="143" t="str">
        <f>IF(TBL_Q_05_PAS_C4_D[[#This Row],[Shade]]="Shade", "", IF(TBL_Q_05_PAS_C4_D[[#This Row],[Yes or No?]]&lt;&gt;"", "Done", "Add"))</f>
        <v/>
      </c>
      <c r="L65" s="166"/>
    </row>
    <row r="66" spans="1:12" s="3" customFormat="1" ht="50">
      <c r="A66" s="272"/>
      <c r="B66" s="272"/>
      <c r="C66" s="273" t="s">
        <v>981</v>
      </c>
      <c r="D66" s="140"/>
      <c r="E66" s="140"/>
      <c r="F66" s="170" t="s">
        <v>976</v>
      </c>
      <c r="G66" s="143" t="s">
        <v>893</v>
      </c>
      <c r="H66" s="140" t="s">
        <v>467</v>
      </c>
      <c r="I66" s="253" t="str">
        <f>IF(COUNTIF(TBL_Q_05_PAS_C4_A[Check_2], "Shade")&gt;0, IF($D$47="Yes", "Yes", "No"), "No")</f>
        <v>No</v>
      </c>
      <c r="J66" s="143" t="str">
        <f>IF(AND(TBL_Q_05_PAS_C4_D[[#This Row],[Include?]]="Yes", TBL_Q_05_PAS_C4_D[[#This Row],[Response?]]="Yes"), "", "Shade")</f>
        <v>Shade</v>
      </c>
      <c r="K66" s="143" t="str">
        <f>IF(TBL_Q_05_PAS_C4_D[[#This Row],[Shade]]="Shade", "", IF(TBL_Q_05_PAS_C4_D[[#This Row],[Yes or No?]]&lt;&gt;"", "Done", "Add"))</f>
        <v/>
      </c>
      <c r="L66" s="166"/>
    </row>
    <row r="67" spans="1:12" s="3" customFormat="1" ht="37.5">
      <c r="A67" s="272"/>
      <c r="B67" s="272"/>
      <c r="C67" s="273" t="s">
        <v>982</v>
      </c>
      <c r="D67" s="140"/>
      <c r="E67" s="140"/>
      <c r="F67" s="170" t="s">
        <v>977</v>
      </c>
      <c r="G67" s="143" t="s">
        <v>894</v>
      </c>
      <c r="H67" s="140" t="s">
        <v>467</v>
      </c>
      <c r="I67" s="253" t="str">
        <f>IF(COUNTIF(TBL_Q_05_PAS_C4_A[Check_2], "Shade")&gt;0, IF($D$47="Yes", "Yes", "No"), "No")</f>
        <v>No</v>
      </c>
      <c r="J67" s="143" t="str">
        <f>IF(AND(TBL_Q_05_PAS_C4_D[[#This Row],[Include?]]="Yes", TBL_Q_05_PAS_C4_D[[#This Row],[Response?]]="Yes"), "", "Shade")</f>
        <v>Shade</v>
      </c>
      <c r="K67" s="143" t="str">
        <f>IF(TBL_Q_05_PAS_C4_D[[#This Row],[Shade]]="Shade", "", IF(TBL_Q_05_PAS_C4_D[[#This Row],[Yes or No?]]&lt;&gt;"", "Done", "Add"))</f>
        <v/>
      </c>
      <c r="L67" s="166"/>
    </row>
    <row r="68" spans="1:12" s="3" customFormat="1" ht="14">
      <c r="A68" s="272"/>
      <c r="B68" s="272"/>
      <c r="C68" s="273" t="s">
        <v>983</v>
      </c>
      <c r="D68" s="140"/>
      <c r="E68" s="140"/>
      <c r="F68" s="170" t="s">
        <v>978</v>
      </c>
      <c r="G68" s="143" t="s">
        <v>895</v>
      </c>
      <c r="H68" s="140" t="s">
        <v>467</v>
      </c>
      <c r="I68" s="253" t="str">
        <f>IF(COUNTIF(TBL_Q_05_PAS_C4_A[Check_2], "Shade")&gt;0, IF($D$47="Yes", "Yes", "No"), "No")</f>
        <v>No</v>
      </c>
      <c r="J68" s="143" t="str">
        <f>IF(AND(TBL_Q_05_PAS_C4_D[[#This Row],[Include?]]="Yes", TBL_Q_05_PAS_C4_D[[#This Row],[Response?]]="Yes"), "", "Shade")</f>
        <v>Shade</v>
      </c>
      <c r="K68" s="143" t="str">
        <f>IF(TBL_Q_05_PAS_C4_D[[#This Row],[Shade]]="Shade", "", IF(TBL_Q_05_PAS_C4_D[[#This Row],[Yes or No?]]&lt;&gt;"", "Done", "Add"))</f>
        <v/>
      </c>
      <c r="L68" s="166"/>
    </row>
    <row r="69" spans="1:12" s="3" customFormat="1" ht="25">
      <c r="A69" s="274"/>
      <c r="B69" s="274"/>
      <c r="C69" s="273" t="s">
        <v>984</v>
      </c>
      <c r="D69" s="140"/>
      <c r="E69" s="140"/>
      <c r="F69" s="170" t="s">
        <v>979</v>
      </c>
      <c r="G69" s="143" t="s">
        <v>896</v>
      </c>
      <c r="H69" s="140" t="s">
        <v>467</v>
      </c>
      <c r="I69" s="253" t="str">
        <f>IF(COUNTIF(TBL_Q_05_PAS_C4_A[Check_2], "Shade")&gt;0, IF($D$47="Yes", "Yes", "No"), "No")</f>
        <v>No</v>
      </c>
      <c r="J69" s="143" t="str">
        <f>IF(AND(TBL_Q_05_PAS_C4_D[[#This Row],[Include?]]="Yes", TBL_Q_05_PAS_C4_D[[#This Row],[Response?]]="Yes"), "", "Shade")</f>
        <v>Shade</v>
      </c>
      <c r="K69" s="143" t="str">
        <f>IF(TBL_Q_05_PAS_C4_D[[#This Row],[Shade]]="Shade", "", IF(TBL_Q_05_PAS_C4_D[[#This Row],[Yes or No?]]&lt;&gt;"", "Done", "Add"))</f>
        <v/>
      </c>
      <c r="L69" s="166"/>
    </row>
    <row r="70" spans="1:12" s="3" customFormat="1" ht="75">
      <c r="A70" s="275" t="s">
        <v>914</v>
      </c>
      <c r="B70" s="273" t="s">
        <v>985</v>
      </c>
      <c r="C70" s="271" t="s">
        <v>986</v>
      </c>
      <c r="D70" s="152"/>
      <c r="E70" s="152"/>
      <c r="F70" s="170" t="s">
        <v>914</v>
      </c>
      <c r="G70" s="143" t="s">
        <v>897</v>
      </c>
      <c r="H70" s="140" t="s">
        <v>467</v>
      </c>
      <c r="I70" s="253" t="str">
        <f>IF(COUNTIF(TBL_Q_05_PAS_C4_A[Check_2], "Shade")&gt;0, IF($D$47="Yes", "Yes", "No"), "No")</f>
        <v>No</v>
      </c>
      <c r="J70" s="143" t="str">
        <f>IF(AND(TBL_Q_05_PAS_C4_D[[#This Row],[Include?]]="Yes", TBL_Q_05_PAS_C4_D[[#This Row],[Response?]]="Yes"), "", "Shade")</f>
        <v>Shade</v>
      </c>
      <c r="K70" s="143" t="str">
        <f>IF(TBL_Q_05_PAS_C4_D[[#This Row],[Shade]]="Shade", "", IF(TBL_Q_05_PAS_C4_D[[#This Row],[Yes or No?]]&lt;&gt;"", "Done", "Add"))</f>
        <v/>
      </c>
      <c r="L70" s="167"/>
    </row>
    <row r="71" spans="1:12" s="3" customFormat="1" ht="50.5">
      <c r="A71" s="275" t="s">
        <v>915</v>
      </c>
      <c r="B71" s="273" t="s">
        <v>988</v>
      </c>
      <c r="C71" s="271" t="s">
        <v>987</v>
      </c>
      <c r="D71" s="152"/>
      <c r="E71" s="152"/>
      <c r="F71" s="170" t="s">
        <v>915</v>
      </c>
      <c r="G71" s="143" t="s">
        <v>898</v>
      </c>
      <c r="H71" s="140" t="s">
        <v>467</v>
      </c>
      <c r="I71" s="253" t="str">
        <f>IF(COUNTIF(TBL_Q_05_PAS_C4_A[Check_2], "Shade")&gt;0, IF($D$47="Yes", "Yes", "No"), "No")</f>
        <v>No</v>
      </c>
      <c r="J71" s="143" t="str">
        <f>IF(AND(TBL_Q_05_PAS_C4_D[[#This Row],[Include?]]="Yes", TBL_Q_05_PAS_C4_D[[#This Row],[Response?]]="Yes"), "", "Shade")</f>
        <v>Shade</v>
      </c>
      <c r="K71" s="143" t="str">
        <f>IF(TBL_Q_05_PAS_C4_D[[#This Row],[Shade]]="Shade", "", IF(TBL_Q_05_PAS_C4_D[[#This Row],[Yes or No?]]&lt;&gt;"", "Done", "Add"))</f>
        <v/>
      </c>
      <c r="L71" s="167"/>
    </row>
    <row r="72" spans="1:12" s="3" customFormat="1" ht="14">
      <c r="A72" s="52"/>
      <c r="B72" s="52"/>
      <c r="C72" s="45"/>
      <c r="L72" s="36"/>
    </row>
    <row r="73" spans="1:12" ht="34.25" customHeight="1">
      <c r="A73" s="37" t="s">
        <v>1775</v>
      </c>
      <c r="B73" s="696" t="s">
        <v>1780</v>
      </c>
      <c r="C73" s="696"/>
      <c r="D73" s="696"/>
      <c r="E73" s="696"/>
    </row>
    <row r="75" spans="1:12" ht="83" customHeight="1">
      <c r="A75" s="37" t="s">
        <v>1763</v>
      </c>
      <c r="B75" s="696" t="s">
        <v>1766</v>
      </c>
      <c r="C75" s="696"/>
      <c r="D75" s="696"/>
      <c r="E75" s="696"/>
    </row>
    <row r="77" spans="1:12" ht="28.5" customHeight="1">
      <c r="A77" s="37" t="s">
        <v>1764</v>
      </c>
      <c r="B77" s="696" t="s">
        <v>1767</v>
      </c>
      <c r="C77" s="696"/>
      <c r="D77" s="696"/>
      <c r="E77" s="696"/>
    </row>
    <row r="79" spans="1:12" ht="29" customHeight="1">
      <c r="A79" s="37" t="s">
        <v>1765</v>
      </c>
      <c r="B79" s="696" t="s">
        <v>1768</v>
      </c>
      <c r="C79" s="696"/>
      <c r="D79" s="696"/>
      <c r="E79" s="696"/>
    </row>
    <row r="81" spans="1:5" ht="44" customHeight="1">
      <c r="B81" s="696" t="s">
        <v>1769</v>
      </c>
      <c r="C81" s="696"/>
      <c r="D81" s="696"/>
      <c r="E81" s="696"/>
    </row>
    <row r="83" spans="1:5" ht="58.25" customHeight="1">
      <c r="B83" s="696" t="s">
        <v>1770</v>
      </c>
      <c r="C83" s="696"/>
      <c r="D83" s="696"/>
      <c r="E83" s="696"/>
    </row>
    <row r="85" spans="1:5" ht="29.75" customHeight="1">
      <c r="B85" s="696" t="s">
        <v>1771</v>
      </c>
      <c r="C85" s="696"/>
      <c r="D85" s="696"/>
      <c r="E85" s="696"/>
    </row>
    <row r="87" spans="1:5" ht="28.25" customHeight="1">
      <c r="A87" s="37" t="s">
        <v>989</v>
      </c>
      <c r="B87" s="696" t="s">
        <v>990</v>
      </c>
      <c r="C87" s="696"/>
      <c r="D87" s="696"/>
      <c r="E87" s="696"/>
    </row>
    <row r="89" spans="1:5" ht="28.25" customHeight="1">
      <c r="A89" s="37" t="s">
        <v>991</v>
      </c>
      <c r="B89" s="696" t="s">
        <v>993</v>
      </c>
      <c r="C89" s="676"/>
      <c r="D89" s="676"/>
      <c r="E89" s="676"/>
    </row>
    <row r="91" spans="1:5">
      <c r="A91" s="37" t="s">
        <v>992</v>
      </c>
      <c r="B91" s="696" t="s">
        <v>994</v>
      </c>
      <c r="C91" s="696"/>
      <c r="D91" s="696"/>
      <c r="E91" s="696"/>
    </row>
  </sheetData>
  <sheetProtection algorithmName="SHA-512" hashValue="oLdbTcRWGgslNeiWvss1w4WDCfdsQw0z6OjxHVOVYhsCyc4KBtdkEtqADuFQNEOZ+rijKMDDPQnXBA07LZ429w==" saltValue="hM0E1LrcKuKd+84y/gnH1g==" spinCount="100000" sheet="1" objects="1" scenarios="1"/>
  <protectedRanges>
    <protectedRange sqref="D20:E22 D26:E35 D44:D47 D50:E71" name="Responses"/>
  </protectedRanges>
  <dataConsolidate link="1"/>
  <mergeCells count="18">
    <mergeCell ref="B73:E73"/>
    <mergeCell ref="B75:E75"/>
    <mergeCell ref="B77:E77"/>
    <mergeCell ref="B79:E79"/>
    <mergeCell ref="B10:E10"/>
    <mergeCell ref="B37:E37"/>
    <mergeCell ref="B39:E39"/>
    <mergeCell ref="B41:E41"/>
    <mergeCell ref="B12:E12"/>
    <mergeCell ref="B13:E13"/>
    <mergeCell ref="B15:E15"/>
    <mergeCell ref="B17:E17"/>
    <mergeCell ref="B81:E81"/>
    <mergeCell ref="B83:E83"/>
    <mergeCell ref="B85:E85"/>
    <mergeCell ref="B91:E91"/>
    <mergeCell ref="B89:E89"/>
    <mergeCell ref="B87:E87"/>
  </mergeCells>
  <conditionalFormatting sqref="B20:E22 B26:E35 B44:E47 B50:E71">
    <cfRule type="expression" dxfId="99" priority="2">
      <formula>INDIRECT("J"&amp;ROW())="Shade"</formula>
    </cfRule>
  </conditionalFormatting>
  <conditionalFormatting sqref="D20:D22 D26:D35 D44:D47 D50:D71">
    <cfRule type="expression" dxfId="98" priority="14">
      <formula>INDIRECT("K"&amp;ROW())="Done"</formula>
    </cfRule>
    <cfRule type="expression" dxfId="97" priority="15">
      <formula>INDIRECT("K"&amp;ROW())="Add"</formula>
    </cfRule>
  </conditionalFormatting>
  <conditionalFormatting sqref="E20:E22 E26:E35 E44:E47 E50:E71">
    <cfRule type="expression" dxfId="96" priority="3">
      <formula>INDIRECT("L"&amp;ROW())="Shade"</formula>
    </cfRule>
  </conditionalFormatting>
  <conditionalFormatting sqref="E20:E22 E26:E35 E45:E47 E50:E71">
    <cfRule type="expression" dxfId="95" priority="7">
      <formula>INDIRECT("L"&amp;ROW())="Done"</formula>
    </cfRule>
    <cfRule type="expression" dxfId="94" priority="13">
      <formula>INDIRECT("L"&amp;ROW())="Add"</formula>
    </cfRule>
  </conditionalFormatting>
  <dataValidations count="2">
    <dataValidation type="list" allowBlank="1" showInputMessage="1" showErrorMessage="1" sqref="D26:D35 D44:D47 D50:D71" xr:uid="{31DDB786-A011-4128-808D-ED73A50CF496}">
      <formula1>"Yes, No"</formula1>
    </dataValidation>
    <dataValidation type="list" allowBlank="1" showInputMessage="1" showErrorMessage="1" sqref="D20:D22" xr:uid="{8C44E9DD-D6D0-4A4C-BE81-2A853056CA1F}">
      <formula1>"Yes - i, Yes - ii, Yes - i and ii, No"</formula1>
    </dataValidation>
  </dataValidations>
  <hyperlinks>
    <hyperlink ref="C22" location="'Part 1_Core 4'!A73" display="You hold a certificate of compliance with BS OHSAS 18001 (or equivalent) issued by a Conformity Assessment Body accredited to provide conformity assessment services to that standard1, e.g. accredited by UKAS." xr:uid="{DD15A6F0-68E6-4139-BCB8-A9240E72A2BD}"/>
  </hyperlinks>
  <pageMargins left="0.59055118110236227" right="0.59055118110236227" top="0.39370078740157483" bottom="0.78740157480314965" header="0" footer="0.39370078740157483"/>
  <pageSetup paperSize="9" orientation="landscape" r:id="rId1"/>
  <headerFooter>
    <oddFooter>&amp;C&amp;"Arial,Regular"&amp;10&amp;K00-049&amp;P</oddFooter>
  </headerFooter>
  <rowBreaks count="5" manualBreakCount="5">
    <brk id="18" max="4" man="1"/>
    <brk id="23" max="4" man="1"/>
    <brk id="48" max="4" man="1"/>
    <brk id="63" max="4" man="1"/>
    <brk id="72" max="4" man="1"/>
  </rowBreaks>
  <tableParts count="4">
    <tablePart r:id="rId2"/>
    <tablePart r:id="rId3"/>
    <tablePart r:id="rId4"/>
    <tablePart r:id="rId5"/>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7AE47-CA31-4F6E-9767-7B318CE8BE1B}">
  <sheetPr codeName="Sheet68">
    <tabColor rgb="FFFF0000"/>
  </sheetPr>
  <dimension ref="A1:Q23"/>
  <sheetViews>
    <sheetView showGridLines="0" topLeftCell="P1" zoomScaleNormal="100" workbookViewId="0">
      <selection activeCell="O1" sqref="A1:O1048576"/>
    </sheetView>
  </sheetViews>
  <sheetFormatPr defaultColWidth="9" defaultRowHeight="14"/>
  <cols>
    <col min="1" max="1" width="9.36328125" style="52" hidden="1" customWidth="1"/>
    <col min="2" max="2" width="40" style="52" hidden="1" customWidth="1"/>
    <col min="3" max="3" width="46.6328125" style="45" hidden="1" customWidth="1"/>
    <col min="4" max="4" width="12.54296875" style="3" hidden="1" customWidth="1"/>
    <col min="5" max="5" width="27.36328125" style="3" hidden="1" customWidth="1"/>
    <col min="6" max="6" width="10.6328125" style="3" hidden="1" customWidth="1"/>
    <col min="7" max="7" width="9.36328125" style="3" hidden="1" customWidth="1"/>
    <col min="8" max="8" width="9.453125" style="3" hidden="1" customWidth="1"/>
    <col min="9" max="9" width="10.90625" style="3" hidden="1" customWidth="1"/>
    <col min="10" max="10" width="7.6328125" style="3" hidden="1" customWidth="1"/>
    <col min="11" max="11" width="10.36328125" style="3" hidden="1" customWidth="1"/>
    <col min="12" max="12" width="10.36328125" style="36" hidden="1" customWidth="1"/>
    <col min="13" max="13" width="9.54296875" style="3" hidden="1" customWidth="1"/>
    <col min="14" max="15" width="9.08984375" style="3" hidden="1" customWidth="1"/>
    <col min="16" max="17" width="9.08984375" style="3" customWidth="1"/>
    <col min="18" max="16384" width="9" style="3"/>
  </cols>
  <sheetData>
    <row r="1" spans="1:17" s="94"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46"/>
      <c r="L1" s="351"/>
      <c r="M1" s="352" t="str">
        <f>IF(REF_Alternative="Yes", IF(REF_Alternative_Response="Yes", "N/A", IF(SUM(COUNTIF(TBL_Q_05_PAS_O1[Check_1], "Add")&gt;0, COUNTIF(TBL_Q_05_PAS_O1[Check_2], "Add")&gt;0), "Incomplete", "Complete")), IF(SUM(COUNTIF(TBL_Q_05_PAS_O1[Check_1], "Add")&gt;0, COUNTIF(TBL_Q_05_PAS_O1[Check_2], "Add")&gt;0), "Incomplete", "Complete"))</f>
        <v>Incomplete</v>
      </c>
    </row>
    <row r="2" spans="1:17" s="94" customFormat="1" ht="12.5" customHeight="1">
      <c r="A2" s="54" t="str">
        <f t="array" ref="A2">CONCATENATE(INDEX(TBL_DATA_00_Doc_Merge[Supplier_Type], MATCH(1, (REF_Doc_Lot=TBL_DATA_00_Doc_Merge[Lot])*(REF_Job_No=TBL_DATA_00_Doc_Merge[Job_No]),0)), ":")</f>
        <v>Supplier:</v>
      </c>
      <c r="B2" s="54" t="str">
        <f>Response!$A$2</f>
        <v>Purdy Contracts Ltd</v>
      </c>
      <c r="C2" s="346"/>
      <c r="L2" s="351"/>
    </row>
    <row r="3" spans="1:17" s="94" customFormat="1" ht="12.5" customHeight="1">
      <c r="A3" s="345"/>
      <c r="B3" s="345"/>
      <c r="C3" s="346"/>
      <c r="L3" s="351"/>
    </row>
    <row r="4" spans="1:17" ht="17.5">
      <c r="A4" s="88" t="s">
        <v>144</v>
      </c>
      <c r="B4" s="88" t="s">
        <v>1303</v>
      </c>
    </row>
    <row r="6" spans="1:17" s="56" customFormat="1" ht="15.5">
      <c r="A6" s="279" t="s">
        <v>1304</v>
      </c>
      <c r="B6" s="279" t="str">
        <f>IF(REF_Alternative="Yes", IF(REF_Alternative_Response="Yes", "Section not applicable", IF('Project Info'!$K$77="No", "Delete this tab", "Equal opportunity and diversity policy and capability")), IF('Project Info'!$K$77="No", "Delete this tab", "Equal opportunity and diversity policy and capability"))</f>
        <v>Equal opportunity and diversity policy and capability</v>
      </c>
      <c r="D6" s="57"/>
      <c r="E6" s="57"/>
      <c r="F6" s="57"/>
      <c r="L6" s="55"/>
    </row>
    <row r="7" spans="1:17">
      <c r="A7" s="31"/>
      <c r="B7" s="31"/>
      <c r="C7" s="46"/>
      <c r="D7" s="10"/>
      <c r="E7" s="10"/>
      <c r="F7" s="10"/>
      <c r="G7" s="10"/>
      <c r="H7" s="10"/>
      <c r="I7" s="10"/>
      <c r="J7" s="10"/>
      <c r="K7" s="10"/>
      <c r="L7" s="20"/>
      <c r="M7" s="10"/>
      <c r="N7" s="10"/>
      <c r="O7" s="10"/>
      <c r="P7" s="10"/>
      <c r="Q7" s="10"/>
    </row>
    <row r="8" spans="1:17" ht="26">
      <c r="A8" s="153" t="s">
        <v>585</v>
      </c>
      <c r="B8" s="115" t="s">
        <v>146</v>
      </c>
      <c r="C8" s="115" t="s">
        <v>1001</v>
      </c>
      <c r="D8" s="115" t="s">
        <v>844</v>
      </c>
      <c r="E8" s="115" t="s">
        <v>1331</v>
      </c>
      <c r="F8" s="156" t="s">
        <v>714</v>
      </c>
      <c r="G8" s="156" t="s">
        <v>90</v>
      </c>
      <c r="H8" s="115" t="s">
        <v>324</v>
      </c>
      <c r="I8" s="115" t="s">
        <v>1351</v>
      </c>
      <c r="J8" s="156" t="s">
        <v>88</v>
      </c>
      <c r="K8" s="156" t="s">
        <v>1348</v>
      </c>
      <c r="L8" s="250" t="s">
        <v>1349</v>
      </c>
      <c r="M8" s="10"/>
      <c r="N8" s="10"/>
      <c r="O8" s="10"/>
      <c r="P8" s="10"/>
    </row>
    <row r="9" spans="1:17" ht="37.5">
      <c r="A9" s="39" t="s">
        <v>995</v>
      </c>
      <c r="B9" s="39" t="s">
        <v>1372</v>
      </c>
      <c r="C9" s="143" t="s">
        <v>1025</v>
      </c>
      <c r="D9" s="140"/>
      <c r="E9" s="140"/>
      <c r="F9" s="154" t="s">
        <v>1019</v>
      </c>
      <c r="G9" s="143" t="s">
        <v>996</v>
      </c>
      <c r="H9" s="140" t="s">
        <v>467</v>
      </c>
      <c r="I9" s="253" t="s">
        <v>467</v>
      </c>
      <c r="J9" s="143" t="str">
        <f>IF(AND(TBL_Q_05_PAS_O1[[#This Row],[Include?]]="Yes", TBL_Q_05_PAS_O1[[#This Row],[Response?]]="Yes"), "", "Shade")</f>
        <v/>
      </c>
      <c r="K9" s="143" t="str">
        <f>IF(TBL_Q_05_PAS_O1[[#This Row],[Shade]]="Shade", "", IF(TBL_Q_05_PAS_O1[[#This Row],[Yes or No?]]&lt;&gt;"", "Done", "Add"))</f>
        <v>Add</v>
      </c>
      <c r="L9" s="245" t="str">
        <f>IF(TBL_Q_05_PAS_O1[[#This Row],[Yes or No?]]="Yes", IF(TBL_Q_05_PAS_O1[[#This Row],[Supplier’s unique reference to supporting information]]&lt;&gt;"", "Done", "Add"), "Shade")</f>
        <v>Shade</v>
      </c>
      <c r="M9" s="46"/>
      <c r="N9" s="46"/>
      <c r="O9" s="46"/>
      <c r="P9" s="46"/>
    </row>
    <row r="10" spans="1:17" ht="25">
      <c r="A10" s="60"/>
      <c r="B10" s="60" t="s">
        <v>1373</v>
      </c>
      <c r="C10" s="143" t="s">
        <v>1026</v>
      </c>
      <c r="D10" s="140"/>
      <c r="E10" s="140"/>
      <c r="F10" s="154" t="s">
        <v>1020</v>
      </c>
      <c r="G10" s="143" t="s">
        <v>998</v>
      </c>
      <c r="H10" s="140" t="s">
        <v>467</v>
      </c>
      <c r="I10" s="253" t="s">
        <v>467</v>
      </c>
      <c r="J10" s="143" t="str">
        <f>IF(AND(TBL_Q_05_PAS_O1[[#This Row],[Include?]]="Yes", TBL_Q_05_PAS_O1[[#This Row],[Response?]]="Yes"), "", "Shade")</f>
        <v/>
      </c>
      <c r="K10" s="143" t="str">
        <f>IF(TBL_Q_05_PAS_O1[[#This Row],[Shade]]="Shade", "", IF(TBL_Q_05_PAS_O1[[#This Row],[Yes or No?]]&lt;&gt;"", "Done", "Add"))</f>
        <v>Add</v>
      </c>
      <c r="L10" s="245" t="str">
        <f>IF(TBL_Q_05_PAS_O1[[#This Row],[Yes or No?]]="Yes", IF(TBL_Q_05_PAS_O1[[#This Row],[Supplier’s unique reference to supporting information]]&lt;&gt;"", "Done", "Add"), "Shade")</f>
        <v>Shade</v>
      </c>
      <c r="M10" s="46"/>
      <c r="N10" s="46"/>
      <c r="O10" s="46"/>
      <c r="P10" s="46"/>
    </row>
    <row r="11" spans="1:17" ht="25">
      <c r="A11" s="60"/>
      <c r="B11" s="60"/>
      <c r="C11" s="143" t="s">
        <v>1027</v>
      </c>
      <c r="D11" s="140"/>
      <c r="E11" s="140"/>
      <c r="F11" s="154" t="s">
        <v>1021</v>
      </c>
      <c r="G11" s="143" t="s">
        <v>1000</v>
      </c>
      <c r="H11" s="140" t="s">
        <v>467</v>
      </c>
      <c r="I11" s="253" t="s">
        <v>467</v>
      </c>
      <c r="J11" s="143" t="str">
        <f>IF(AND(TBL_Q_05_PAS_O1[[#This Row],[Include?]]="Yes", TBL_Q_05_PAS_O1[[#This Row],[Response?]]="Yes"), "", "Shade")</f>
        <v/>
      </c>
      <c r="K11" s="143" t="str">
        <f>IF(TBL_Q_05_PAS_O1[[#This Row],[Shade]]="Shade", "", IF(TBL_Q_05_PAS_O1[[#This Row],[Yes or No?]]&lt;&gt;"", "Done", "Add"))</f>
        <v>Add</v>
      </c>
      <c r="L11" s="245" t="str">
        <f>IF(TBL_Q_05_PAS_O1[[#This Row],[Yes or No?]]="Yes", IF(TBL_Q_05_PAS_O1[[#This Row],[Supplier’s unique reference to supporting information]]&lt;&gt;"", "Done", "Add"), "Shade")</f>
        <v>Shade</v>
      </c>
      <c r="M11" s="46"/>
      <c r="N11" s="46"/>
      <c r="O11" s="46"/>
      <c r="P11" s="46"/>
    </row>
    <row r="12" spans="1:17" ht="25">
      <c r="A12" s="59"/>
      <c r="B12" s="59"/>
      <c r="C12" s="143" t="s">
        <v>1028</v>
      </c>
      <c r="D12" s="140"/>
      <c r="E12" s="140"/>
      <c r="F12" s="154" t="s">
        <v>1022</v>
      </c>
      <c r="G12" s="143" t="s">
        <v>1003</v>
      </c>
      <c r="H12" s="140" t="s">
        <v>467</v>
      </c>
      <c r="I12" s="253" t="s">
        <v>467</v>
      </c>
      <c r="J12" s="143" t="str">
        <f>IF(AND(TBL_Q_05_PAS_O1[[#This Row],[Include?]]="Yes", TBL_Q_05_PAS_O1[[#This Row],[Response?]]="Yes"), "", "Shade")</f>
        <v/>
      </c>
      <c r="K12" s="143" t="str">
        <f>IF(TBL_Q_05_PAS_O1[[#This Row],[Shade]]="Shade", "", IF(TBL_Q_05_PAS_O1[[#This Row],[Yes or No?]]&lt;&gt;"", "Done", "Add"))</f>
        <v>Add</v>
      </c>
      <c r="L12" s="245" t="str">
        <f>IF(TBL_Q_05_PAS_O1[[#This Row],[Yes or No?]]="Yes", IF(TBL_Q_05_PAS_O1[[#This Row],[Supplier’s unique reference to supporting information]]&lt;&gt;"", "Done", "Add"), "Shade")</f>
        <v>Shade</v>
      </c>
      <c r="M12" s="46"/>
      <c r="N12" s="46"/>
      <c r="O12" s="46"/>
      <c r="P12" s="46"/>
    </row>
    <row r="13" spans="1:17" ht="50">
      <c r="A13" s="50" t="s">
        <v>997</v>
      </c>
      <c r="B13" s="50" t="s">
        <v>1029</v>
      </c>
      <c r="C13" s="143" t="s">
        <v>1030</v>
      </c>
      <c r="D13" s="140"/>
      <c r="E13" s="140" t="s">
        <v>24</v>
      </c>
      <c r="F13" s="154" t="s">
        <v>997</v>
      </c>
      <c r="G13" s="143" t="s">
        <v>1005</v>
      </c>
      <c r="H13" s="140" t="s">
        <v>467</v>
      </c>
      <c r="I13" s="253" t="s">
        <v>467</v>
      </c>
      <c r="J13" s="143" t="str">
        <f>IF(AND(TBL_Q_05_PAS_O1[[#This Row],[Include?]]="Yes", TBL_Q_05_PAS_O1[[#This Row],[Response?]]="Yes"), "", "Shade")</f>
        <v/>
      </c>
      <c r="K13" s="143" t="str">
        <f>IF(TBL_Q_05_PAS_O1[[#This Row],[Shade]]="Shade", "", IF(TBL_Q_05_PAS_O1[[#This Row],[Yes or No?]]&lt;&gt;"", "Done", "Add"))</f>
        <v>Add</v>
      </c>
      <c r="L13" s="246" t="s">
        <v>88</v>
      </c>
      <c r="M13" s="46"/>
      <c r="N13" s="46"/>
      <c r="O13" s="46"/>
      <c r="P13" s="46"/>
    </row>
    <row r="14" spans="1:17" ht="50">
      <c r="A14" s="50" t="s">
        <v>999</v>
      </c>
      <c r="B14" s="50" t="s">
        <v>1033</v>
      </c>
      <c r="C14" s="143" t="s">
        <v>1031</v>
      </c>
      <c r="D14" s="140"/>
      <c r="E14" s="140"/>
      <c r="F14" s="154" t="s">
        <v>999</v>
      </c>
      <c r="G14" s="143" t="s">
        <v>1007</v>
      </c>
      <c r="H14" s="140" t="s">
        <v>467</v>
      </c>
      <c r="I14" s="253" t="s">
        <v>467</v>
      </c>
      <c r="J14" s="143" t="str">
        <f>IF(AND(TBL_Q_05_PAS_O1[[#This Row],[Include?]]="Yes", TBL_Q_05_PAS_O1[[#This Row],[Response?]]="Yes"), "", "Shade")</f>
        <v/>
      </c>
      <c r="K14" s="143" t="str">
        <f>IF(TBL_Q_05_PAS_O1[[#This Row],[Shade]]="Shade", "", IF(TBL_Q_05_PAS_O1[[#This Row],[Yes or No?]]&lt;&gt;"", "Done", "Add"))</f>
        <v>Add</v>
      </c>
      <c r="L14" s="245" t="str">
        <f>IF(TBL_Q_05_PAS_O1[[#This Row],[Yes or No?]]="Yes", IF(TBL_Q_05_PAS_O1[[#This Row],[Supplier’s unique reference to supporting information]]&lt;&gt;"", "Done", "Add"), "Shade")</f>
        <v>Shade</v>
      </c>
      <c r="M14" s="46"/>
      <c r="N14" s="46"/>
      <c r="O14" s="46"/>
      <c r="P14" s="46"/>
    </row>
    <row r="15" spans="1:17" s="37" customFormat="1" ht="62.5">
      <c r="A15" s="50" t="s">
        <v>1002</v>
      </c>
      <c r="B15" s="50" t="s">
        <v>1034</v>
      </c>
      <c r="C15" s="143" t="s">
        <v>1032</v>
      </c>
      <c r="D15" s="140"/>
      <c r="E15" s="140"/>
      <c r="F15" s="154" t="s">
        <v>1002</v>
      </c>
      <c r="G15" s="143" t="s">
        <v>1009</v>
      </c>
      <c r="H15" s="140" t="s">
        <v>467</v>
      </c>
      <c r="I15" s="253" t="s">
        <v>467</v>
      </c>
      <c r="J15" s="143" t="str">
        <f>IF(AND(TBL_Q_05_PAS_O1[[#This Row],[Include?]]="Yes", TBL_Q_05_PAS_O1[[#This Row],[Response?]]="Yes"), "", "Shade")</f>
        <v/>
      </c>
      <c r="K15" s="143" t="str">
        <f>IF(TBL_Q_05_PAS_O1[[#This Row],[Shade]]="Shade", "", IF(TBL_Q_05_PAS_O1[[#This Row],[Yes or No?]]&lt;&gt;"", "Done", "Add"))</f>
        <v>Add</v>
      </c>
      <c r="L15" s="245" t="str">
        <f>IF(TBL_Q_05_PAS_O1[[#This Row],[Yes or No?]]="Yes", IF(TBL_Q_05_PAS_O1[[#This Row],[Supplier’s unique reference to supporting information]]&lt;&gt;"", "Done", "Add"), "Shade")</f>
        <v>Shade</v>
      </c>
    </row>
    <row r="16" spans="1:17" ht="37.5">
      <c r="A16" s="50" t="s">
        <v>1004</v>
      </c>
      <c r="B16" s="50" t="s">
        <v>1035</v>
      </c>
      <c r="C16" s="143" t="s">
        <v>1031</v>
      </c>
      <c r="D16" s="140"/>
      <c r="E16" s="140"/>
      <c r="F16" s="154" t="s">
        <v>1004</v>
      </c>
      <c r="G16" s="143" t="s">
        <v>1011</v>
      </c>
      <c r="H16" s="140" t="s">
        <v>467</v>
      </c>
      <c r="I16" s="253" t="s">
        <v>467</v>
      </c>
      <c r="J16" s="143" t="str">
        <f>IF(AND(TBL_Q_05_PAS_O1[[#This Row],[Include?]]="Yes", TBL_Q_05_PAS_O1[[#This Row],[Response?]]="Yes"), "", "Shade")</f>
        <v/>
      </c>
      <c r="K16" s="143" t="str">
        <f>IF(TBL_Q_05_PAS_O1[[#This Row],[Shade]]="Shade", "", IF(TBL_Q_05_PAS_O1[[#This Row],[Yes or No?]]&lt;&gt;"", "Done", "Add"))</f>
        <v>Add</v>
      </c>
      <c r="L16" s="245" t="str">
        <f>IF(TBL_Q_05_PAS_O1[[#This Row],[Yes or No?]]="Yes", IF(TBL_Q_05_PAS_O1[[#This Row],[Supplier’s unique reference to supporting information]]&lt;&gt;"", "Done", "Add"), "Shade")</f>
        <v>Shade</v>
      </c>
    </row>
    <row r="17" spans="1:12" ht="37.5">
      <c r="A17" s="50" t="s">
        <v>1006</v>
      </c>
      <c r="B17" s="50" t="s">
        <v>1036</v>
      </c>
      <c r="C17" s="143" t="s">
        <v>1031</v>
      </c>
      <c r="D17" s="140"/>
      <c r="E17" s="140"/>
      <c r="F17" s="154" t="s">
        <v>1006</v>
      </c>
      <c r="G17" s="143" t="s">
        <v>1013</v>
      </c>
      <c r="H17" s="140" t="s">
        <v>467</v>
      </c>
      <c r="I17" s="253" t="s">
        <v>467</v>
      </c>
      <c r="J17" s="143" t="str">
        <f>IF(AND(TBL_Q_05_PAS_O1[[#This Row],[Include?]]="Yes", TBL_Q_05_PAS_O1[[#This Row],[Response?]]="Yes"), "", "Shade")</f>
        <v/>
      </c>
      <c r="K17" s="143" t="str">
        <f>IF(TBL_Q_05_PAS_O1[[#This Row],[Shade]]="Shade", "", IF(TBL_Q_05_PAS_O1[[#This Row],[Yes or No?]]&lt;&gt;"", "Done", "Add"))</f>
        <v>Add</v>
      </c>
      <c r="L17" s="245" t="str">
        <f>IF(TBL_Q_05_PAS_O1[[#This Row],[Yes or No?]]="Yes", IF(TBL_Q_05_PAS_O1[[#This Row],[Supplier’s unique reference to supporting information]]&lt;&gt;"", "Done", "Add"), "Shade")</f>
        <v>Shade</v>
      </c>
    </row>
    <row r="18" spans="1:12" ht="37.5">
      <c r="A18" s="50" t="s">
        <v>1008</v>
      </c>
      <c r="B18" s="50" t="s">
        <v>1037</v>
      </c>
      <c r="C18" s="143" t="s">
        <v>1031</v>
      </c>
      <c r="D18" s="140"/>
      <c r="E18" s="140"/>
      <c r="F18" s="154" t="s">
        <v>1008</v>
      </c>
      <c r="G18" s="143" t="s">
        <v>1015</v>
      </c>
      <c r="H18" s="140" t="s">
        <v>467</v>
      </c>
      <c r="I18" s="253" t="s">
        <v>467</v>
      </c>
      <c r="J18" s="143" t="str">
        <f>IF(AND(TBL_Q_05_PAS_O1[[#This Row],[Include?]]="Yes", TBL_Q_05_PAS_O1[[#This Row],[Response?]]="Yes"), "", "Shade")</f>
        <v/>
      </c>
      <c r="K18" s="143" t="str">
        <f>IF(TBL_Q_05_PAS_O1[[#This Row],[Shade]]="Shade", "", IF(TBL_Q_05_PAS_O1[[#This Row],[Yes or No?]]&lt;&gt;"", "Done", "Add"))</f>
        <v>Add</v>
      </c>
      <c r="L18" s="245" t="str">
        <f>IF(TBL_Q_05_PAS_O1[[#This Row],[Yes or No?]]="Yes", IF(TBL_Q_05_PAS_O1[[#This Row],[Supplier’s unique reference to supporting information]]&lt;&gt;"", "Done", "Add"), "Shade")</f>
        <v>Shade</v>
      </c>
    </row>
    <row r="19" spans="1:12" ht="37.5">
      <c r="A19" s="50" t="s">
        <v>1010</v>
      </c>
      <c r="B19" s="50" t="s">
        <v>1038</v>
      </c>
      <c r="C19" s="143" t="s">
        <v>1039</v>
      </c>
      <c r="D19" s="140"/>
      <c r="E19" s="140"/>
      <c r="F19" s="154" t="s">
        <v>1010</v>
      </c>
      <c r="G19" s="143" t="s">
        <v>1016</v>
      </c>
      <c r="H19" s="140" t="s">
        <v>467</v>
      </c>
      <c r="I19" s="253" t="s">
        <v>467</v>
      </c>
      <c r="J19" s="143" t="str">
        <f>IF(AND(TBL_Q_05_PAS_O1[[#This Row],[Include?]]="Yes", TBL_Q_05_PAS_O1[[#This Row],[Response?]]="Yes"), "", "Shade")</f>
        <v/>
      </c>
      <c r="K19" s="143" t="str">
        <f>IF(TBL_Q_05_PAS_O1[[#This Row],[Shade]]="Shade", "", IF(TBL_Q_05_PAS_O1[[#This Row],[Yes or No?]]&lt;&gt;"", "Done", "Add"))</f>
        <v>Add</v>
      </c>
      <c r="L19" s="245" t="str">
        <f>IF(TBL_Q_05_PAS_O1[[#This Row],[Yes or No?]]="Yes", IF(TBL_Q_05_PAS_O1[[#This Row],[Supplier’s unique reference to supporting information]]&lt;&gt;"", "Done", "Add"), "Shade")</f>
        <v>Shade</v>
      </c>
    </row>
    <row r="20" spans="1:12" ht="37.5">
      <c r="A20" s="50" t="s">
        <v>1012</v>
      </c>
      <c r="B20" s="50" t="s">
        <v>1040</v>
      </c>
      <c r="C20" s="143" t="s">
        <v>1041</v>
      </c>
      <c r="D20" s="140"/>
      <c r="E20" s="140"/>
      <c r="F20" s="154" t="s">
        <v>1012</v>
      </c>
      <c r="G20" s="143" t="s">
        <v>1017</v>
      </c>
      <c r="H20" s="140" t="s">
        <v>467</v>
      </c>
      <c r="I20" s="253" t="s">
        <v>467</v>
      </c>
      <c r="J20" s="143" t="str">
        <f>IF(AND(TBL_Q_05_PAS_O1[[#This Row],[Include?]]="Yes", TBL_Q_05_PAS_O1[[#This Row],[Response?]]="Yes"), "", "Shade")</f>
        <v/>
      </c>
      <c r="K20" s="143" t="str">
        <f>IF(TBL_Q_05_PAS_O1[[#This Row],[Shade]]="Shade", "", IF(TBL_Q_05_PAS_O1[[#This Row],[Yes or No?]]&lt;&gt;"", "Done", "Add"))</f>
        <v>Add</v>
      </c>
      <c r="L20" s="245" t="str">
        <f>IF(TBL_Q_05_PAS_O1[[#This Row],[Yes or No?]]="Yes", IF(TBL_Q_05_PAS_O1[[#This Row],[Supplier’s unique reference to supporting information]]&lt;&gt;"", "Done", "Add"), "Shade")</f>
        <v>Shade</v>
      </c>
    </row>
    <row r="21" spans="1:12" ht="50">
      <c r="A21" s="39" t="s">
        <v>1014</v>
      </c>
      <c r="B21" s="39" t="s">
        <v>1042</v>
      </c>
      <c r="C21" s="143" t="s">
        <v>1043</v>
      </c>
      <c r="D21" s="140"/>
      <c r="E21" s="140"/>
      <c r="F21" s="277" t="s">
        <v>1466</v>
      </c>
      <c r="G21" s="143" t="s">
        <v>1018</v>
      </c>
      <c r="H21" s="140" t="s">
        <v>467</v>
      </c>
      <c r="I21" s="253" t="s">
        <v>467</v>
      </c>
      <c r="J21" s="143" t="str">
        <f>IF(AND(TBL_Q_05_PAS_O1[[#This Row],[Include?]]="Yes", TBL_Q_05_PAS_O1[[#This Row],[Response?]]="Yes"), "", "Shade")</f>
        <v/>
      </c>
      <c r="K21" s="143" t="str">
        <f>IF(TBL_Q_05_PAS_O1[[#This Row],[Shade]]="Shade", "", IF(TBL_Q_05_PAS_O1[[#This Row],[Yes or No?]]&lt;&gt;"", "Done", "Add"))</f>
        <v>Add</v>
      </c>
      <c r="L21" s="245" t="str">
        <f>IF(TBL_Q_05_PAS_O1[[#This Row],[Yes or No?]]="Yes", IF(TBL_Q_05_PAS_O1[[#This Row],[Supplier’s unique reference to supporting information]]&lt;&gt;"", "Done", "Add"), "Shade")</f>
        <v>Shade</v>
      </c>
    </row>
    <row r="22" spans="1:12" ht="100">
      <c r="A22" s="60"/>
      <c r="B22" s="60"/>
      <c r="C22" s="143" t="s">
        <v>1044</v>
      </c>
      <c r="D22" s="140"/>
      <c r="E22" s="140"/>
      <c r="F22" s="277" t="s">
        <v>1467</v>
      </c>
      <c r="G22" s="143" t="s">
        <v>1023</v>
      </c>
      <c r="H22" s="140" t="s">
        <v>467</v>
      </c>
      <c r="I22" s="253" t="s">
        <v>467</v>
      </c>
      <c r="J22" s="143" t="str">
        <f>IF(AND(TBL_Q_05_PAS_O1[[#This Row],[Include?]]="Yes", TBL_Q_05_PAS_O1[[#This Row],[Response?]]="Yes"), "", "Shade")</f>
        <v/>
      </c>
      <c r="K22" s="143" t="str">
        <f>IF(TBL_Q_05_PAS_O1[[#This Row],[Shade]]="Shade", "", IF(TBL_Q_05_PAS_O1[[#This Row],[Yes or No?]]&lt;&gt;"", "Done", "Add"))</f>
        <v>Add</v>
      </c>
      <c r="L22" s="245" t="str">
        <f>IF(TBL_Q_05_PAS_O1[[#This Row],[Yes or No?]]="Yes", IF(TBL_Q_05_PAS_O1[[#This Row],[Supplier’s unique reference to supporting information]]&lt;&gt;"", "Done", "Add"), "Shade")</f>
        <v>Shade</v>
      </c>
    </row>
    <row r="23" spans="1:12" ht="62.5">
      <c r="A23" s="59"/>
      <c r="B23" s="59"/>
      <c r="C23" s="143" t="s">
        <v>1045</v>
      </c>
      <c r="D23" s="140"/>
      <c r="E23" s="140"/>
      <c r="F23" s="277" t="s">
        <v>1468</v>
      </c>
      <c r="G23" s="143" t="s">
        <v>1024</v>
      </c>
      <c r="H23" s="140" t="s">
        <v>467</v>
      </c>
      <c r="I23" s="253" t="s">
        <v>467</v>
      </c>
      <c r="J23" s="143" t="str">
        <f>IF(AND(TBL_Q_05_PAS_O1[[#This Row],[Include?]]="Yes", TBL_Q_05_PAS_O1[[#This Row],[Response?]]="Yes"), "", "Shade")</f>
        <v/>
      </c>
      <c r="K23" s="143" t="str">
        <f>IF(TBL_Q_05_PAS_O1[[#This Row],[Shade]]="Shade", "", IF(TBL_Q_05_PAS_O1[[#This Row],[Yes or No?]]&lt;&gt;"", "Done", "Add"))</f>
        <v>Add</v>
      </c>
      <c r="L23" s="245" t="str">
        <f>IF(TBL_Q_05_PAS_O1[[#This Row],[Yes or No?]]="Yes", IF(TBL_Q_05_PAS_O1[[#This Row],[Supplier’s unique reference to supporting information]]&lt;&gt;"", "Done", "Add"), "Shade")</f>
        <v>Shade</v>
      </c>
    </row>
  </sheetData>
  <sheetProtection algorithmName="SHA-512" hashValue="b6ndv056vaEUdFWCyvPSNxdIo8k4KlLw/ZE9wyrj9i6Jq9hkMjaaSlFG4G6rVEK/gJNxRJk1OKnpHLajfqNghQ==" saltValue="7WkXpfOBAItIS4aY6uEUww==" spinCount="100000" sheet="1" objects="1" scenarios="1"/>
  <protectedRanges>
    <protectedRange sqref="D9:D23 E9:E12 E14:E23" name="Responses"/>
  </protectedRanges>
  <dataConsolidate link="1"/>
  <conditionalFormatting sqref="B9:E23">
    <cfRule type="expression" dxfId="93" priority="1">
      <formula>INDIRECT("J"&amp;ROW())="Shade"</formula>
    </cfRule>
  </conditionalFormatting>
  <conditionalFormatting sqref="D9:D23">
    <cfRule type="expression" dxfId="92" priority="5">
      <formula>INDIRECT("K"&amp;ROW())="Done"</formula>
    </cfRule>
    <cfRule type="expression" dxfId="91" priority="6">
      <formula>INDIRECT("K"&amp;ROW())="Add"</formula>
    </cfRule>
  </conditionalFormatting>
  <conditionalFormatting sqref="E9:E23">
    <cfRule type="expression" dxfId="90" priority="2">
      <formula>INDIRECT("L"&amp;ROW())="Shade"</formula>
    </cfRule>
    <cfRule type="expression" dxfId="89" priority="3">
      <formula>INDIRECT("L"&amp;ROW())="Done"</formula>
    </cfRule>
    <cfRule type="expression" dxfId="88" priority="4">
      <formula>INDIRECT("L"&amp;ROW())="Add"</formula>
    </cfRule>
  </conditionalFormatting>
  <dataValidations disablePrompts="1" count="1">
    <dataValidation type="list" allowBlank="1" showInputMessage="1" showErrorMessage="1" sqref="D9:D23" xr:uid="{6BFC2164-0106-45C7-BD5E-B478956C5347}">
      <formula1>"Yes, No"</formula1>
    </dataValidation>
  </dataValidations>
  <pageMargins left="0.59055118110236227" right="0.59055118110236227"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19C6D-DDC7-47E8-B627-EBC3260A48EC}">
  <sheetPr codeName="Sheet69">
    <tabColor rgb="FFFF0000"/>
  </sheetPr>
  <dimension ref="A1:Q20"/>
  <sheetViews>
    <sheetView showGridLines="0" topLeftCell="P1" zoomScaleNormal="100" workbookViewId="0">
      <selection activeCell="O1" sqref="A1:O1048576"/>
    </sheetView>
  </sheetViews>
  <sheetFormatPr defaultColWidth="9" defaultRowHeight="14"/>
  <cols>
    <col min="1" max="1" width="9.36328125" style="52" hidden="1" customWidth="1"/>
    <col min="2" max="2" width="40" style="52" hidden="1" customWidth="1"/>
    <col min="3" max="3" width="46.6328125" style="45" hidden="1" customWidth="1"/>
    <col min="4" max="4" width="12.54296875" style="3" hidden="1" customWidth="1"/>
    <col min="5" max="5" width="27.36328125" style="3" hidden="1" customWidth="1"/>
    <col min="6" max="6" width="10.6328125" style="3" hidden="1" customWidth="1"/>
    <col min="7" max="7" width="8.08984375" style="3" hidden="1" customWidth="1"/>
    <col min="8" max="8" width="9.453125" style="3" hidden="1" customWidth="1"/>
    <col min="9" max="9" width="10.90625" style="3" hidden="1" customWidth="1"/>
    <col min="10" max="10" width="7.6328125" style="3" hidden="1" customWidth="1"/>
    <col min="11" max="11" width="10.36328125" style="3" hidden="1" customWidth="1"/>
    <col min="12" max="12" width="10.36328125" style="36" hidden="1" customWidth="1"/>
    <col min="13" max="13" width="10.6328125" style="3" hidden="1" customWidth="1"/>
    <col min="14" max="15" width="9.08984375" style="3" hidden="1" customWidth="1"/>
    <col min="16" max="17" width="9.08984375" style="3" customWidth="1"/>
    <col min="18" max="16384" width="9" style="3"/>
  </cols>
  <sheetData>
    <row r="1" spans="1:17" s="94"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46"/>
      <c r="L1" s="351"/>
      <c r="M1" s="352" t="str">
        <f>IF(REF_Alternative="Yes", IF(REF_Alternative_Response="Yes", "N/A", IF(OR($K$9="Add", $L$9="Add", SUM(COUNTIF(TBL_Q_05_PAS_O2_B[Check_1], "Add"), COUNTIF(TBL_Q_05_PAS_O2_B[Check_2], "Add"))&gt;0), "Incomplete", "Complete")), IF(OR($K$9="Add", $L$9="Add", SUM(COUNTIF(TBL_Q_05_PAS_O2_B[Check_1], "Add"), COUNTIF(TBL_Q_05_PAS_O2_B[Check_2], "Add"))&gt;0), "Incomplete", "Complete"))</f>
        <v>Incomplete</v>
      </c>
    </row>
    <row r="2" spans="1:17" s="94" customFormat="1" ht="12.5" customHeight="1">
      <c r="A2" s="54" t="str">
        <f t="array" ref="A2">CONCATENATE(INDEX(TBL_DATA_00_Doc_Merge[Supplier_Type], MATCH(1, (REF_Doc_Lot=TBL_DATA_00_Doc_Merge[Lot])*(REF_Job_No=TBL_DATA_00_Doc_Merge[Job_No]),0)), ":")</f>
        <v>Supplier:</v>
      </c>
      <c r="B2" s="54" t="str">
        <f>Response!$A$2</f>
        <v>Purdy Contracts Ltd</v>
      </c>
      <c r="C2" s="346"/>
      <c r="L2" s="351"/>
    </row>
    <row r="3" spans="1:17" s="94" customFormat="1" ht="12.5" customHeight="1">
      <c r="A3" s="345"/>
      <c r="B3" s="345"/>
      <c r="C3" s="346"/>
      <c r="L3" s="351"/>
    </row>
    <row r="4" spans="1:17" ht="17.5">
      <c r="A4" s="88" t="s">
        <v>144</v>
      </c>
      <c r="B4" s="88" t="s">
        <v>1303</v>
      </c>
    </row>
    <row r="6" spans="1:17" s="56" customFormat="1" ht="15.5">
      <c r="A6" s="279" t="s">
        <v>1306</v>
      </c>
      <c r="B6" s="279" t="str">
        <f>IF(REF_Alternative="Yes", IF(REF_Alternative_Response="Yes", "Section not applicable", IF('Project Info'!$K$78="No", "Delete this tab", "Environmental management policy and capability")), IF('Project Info'!$K$78="No", "Delete this tab", "Environmental management policy and capability"))</f>
        <v>Environmental management policy and capability</v>
      </c>
      <c r="D6" s="57"/>
      <c r="E6" s="57"/>
      <c r="F6" s="57"/>
      <c r="L6" s="55"/>
    </row>
    <row r="7" spans="1:17">
      <c r="A7" s="31"/>
      <c r="B7" s="31"/>
      <c r="C7" s="46"/>
      <c r="D7" s="10"/>
      <c r="E7" s="10"/>
      <c r="F7" s="10"/>
      <c r="G7" s="10"/>
      <c r="H7" s="10"/>
      <c r="I7" s="10"/>
      <c r="J7" s="10"/>
      <c r="K7" s="10"/>
      <c r="L7" s="20"/>
      <c r="M7" s="10"/>
      <c r="N7" s="10"/>
      <c r="O7" s="10"/>
      <c r="P7" s="10"/>
      <c r="Q7" s="10"/>
    </row>
    <row r="8" spans="1:17" ht="26">
      <c r="A8" s="172" t="s">
        <v>585</v>
      </c>
      <c r="B8" s="701" t="s">
        <v>1059</v>
      </c>
      <c r="C8" s="702"/>
      <c r="D8" s="173" t="s">
        <v>1058</v>
      </c>
      <c r="E8" s="174" t="s">
        <v>1331</v>
      </c>
      <c r="F8" s="179" t="s">
        <v>714</v>
      </c>
      <c r="G8" s="179" t="s">
        <v>90</v>
      </c>
      <c r="H8" s="173" t="s">
        <v>324</v>
      </c>
      <c r="I8" s="173" t="s">
        <v>1351</v>
      </c>
      <c r="J8" s="179" t="s">
        <v>88</v>
      </c>
      <c r="K8" s="179" t="s">
        <v>1348</v>
      </c>
      <c r="L8" s="179" t="s">
        <v>1349</v>
      </c>
      <c r="M8" s="10"/>
      <c r="N8" s="10"/>
      <c r="O8" s="10"/>
      <c r="P8" s="10"/>
      <c r="Q8" s="10"/>
    </row>
    <row r="9" spans="1:17" ht="66" customHeight="1">
      <c r="A9" s="175" t="s">
        <v>1046</v>
      </c>
      <c r="B9" s="699" t="s">
        <v>1776</v>
      </c>
      <c r="C9" s="700"/>
      <c r="D9" s="176"/>
      <c r="E9" s="177"/>
      <c r="F9" s="154" t="s">
        <v>1046</v>
      </c>
      <c r="G9" s="140" t="s">
        <v>1047</v>
      </c>
      <c r="H9" s="140" t="s">
        <v>467</v>
      </c>
      <c r="I9" s="253" t="s">
        <v>467</v>
      </c>
      <c r="J9" s="143" t="str">
        <f>IF(AND(H9="Yes", I9="Yes"), "", "Shade")</f>
        <v/>
      </c>
      <c r="K9" s="143" t="str">
        <f>IF(J9="Shade", "", IF(D9&lt;&gt;"", "Done", "Add"))</f>
        <v>Add</v>
      </c>
      <c r="L9" s="178" t="str">
        <f>IF(D9="Yes", IF(E9&lt;&gt;"", "Done", "Add"), "Shade")</f>
        <v>Shade</v>
      </c>
      <c r="M9" s="10"/>
      <c r="N9" s="10"/>
      <c r="O9" s="10"/>
      <c r="P9" s="10"/>
      <c r="Q9" s="10"/>
    </row>
    <row r="10" spans="1:17" ht="26">
      <c r="A10" s="153" t="s">
        <v>585</v>
      </c>
      <c r="B10" s="115" t="s">
        <v>146</v>
      </c>
      <c r="C10" s="115" t="s">
        <v>1001</v>
      </c>
      <c r="D10" s="115" t="s">
        <v>844</v>
      </c>
      <c r="E10" s="115" t="s">
        <v>1331</v>
      </c>
      <c r="F10" s="156" t="s">
        <v>714</v>
      </c>
      <c r="G10" s="156" t="s">
        <v>90</v>
      </c>
      <c r="H10" s="115" t="s">
        <v>324</v>
      </c>
      <c r="I10" s="115" t="s">
        <v>1351</v>
      </c>
      <c r="J10" s="156" t="s">
        <v>88</v>
      </c>
      <c r="K10" s="179" t="s">
        <v>1348</v>
      </c>
      <c r="L10" s="179" t="s">
        <v>1349</v>
      </c>
      <c r="M10" s="147"/>
      <c r="N10" s="10"/>
      <c r="O10" s="10"/>
      <c r="P10" s="10"/>
      <c r="Q10" s="10"/>
    </row>
    <row r="11" spans="1:17" ht="75">
      <c r="A11" s="39" t="s">
        <v>1051</v>
      </c>
      <c r="B11" s="50" t="s">
        <v>1061</v>
      </c>
      <c r="C11" s="143" t="s">
        <v>1065</v>
      </c>
      <c r="D11" s="140"/>
      <c r="E11" s="140"/>
      <c r="F11" s="154" t="s">
        <v>1051</v>
      </c>
      <c r="G11" s="140" t="s">
        <v>1048</v>
      </c>
      <c r="H11" s="140" t="s">
        <v>467</v>
      </c>
      <c r="I11" s="255" t="str">
        <f>IF($D$9="Yes", "No", "Yes")</f>
        <v>Yes</v>
      </c>
      <c r="J11" s="143" t="str">
        <f>IF(AND(TBL_Q_05_PAS_O2_B[[#This Row],[Include?]]="Yes", TBL_Q_05_PAS_O2_B[[#This Row],[Response?]]="Yes"), "", "Shade")</f>
        <v/>
      </c>
      <c r="K11" s="143" t="str">
        <f>IF(TBL_Q_05_PAS_O2_B[[#This Row],[Shade]]="Shade", "", IF(TBL_Q_05_PAS_O2_B[[#This Row],[Yes or No?]]&lt;&gt;"", "Done", "Add"))</f>
        <v>Add</v>
      </c>
      <c r="L11" s="166" t="str">
        <f>IF(TBL_Q_05_PAS_O2_B[[#This Row],[Yes or No?]]="Yes", IF(TBL_Q_05_PAS_O2_B[[#This Row],[Supplier’s unique reference to supporting information]]&lt;&gt;"", "Done", "Add"), "Shade")</f>
        <v>Shade</v>
      </c>
      <c r="M11" s="147"/>
      <c r="N11" s="46"/>
      <c r="O11" s="46"/>
      <c r="P11" s="46"/>
      <c r="Q11" s="46"/>
    </row>
    <row r="12" spans="1:17" ht="162.5">
      <c r="A12" s="39" t="s">
        <v>1053</v>
      </c>
      <c r="B12" s="50" t="s">
        <v>1062</v>
      </c>
      <c r="C12" s="143" t="s">
        <v>1066</v>
      </c>
      <c r="D12" s="140"/>
      <c r="E12" s="140"/>
      <c r="F12" s="154" t="s">
        <v>1053</v>
      </c>
      <c r="G12" s="140" t="s">
        <v>1049</v>
      </c>
      <c r="H12" s="140" t="s">
        <v>467</v>
      </c>
      <c r="I12" s="255" t="str">
        <f t="shared" ref="I12:I15" si="0">IF($D$9="Yes", "No", "Yes")</f>
        <v>Yes</v>
      </c>
      <c r="J12" s="143" t="str">
        <f>IF(AND(TBL_Q_05_PAS_O2_B[[#This Row],[Include?]]="Yes", TBL_Q_05_PAS_O2_B[[#This Row],[Response?]]="Yes"), "", "Shade")</f>
        <v/>
      </c>
      <c r="K12" s="143" t="str">
        <f>IF(TBL_Q_05_PAS_O2_B[[#This Row],[Shade]]="Shade", "", IF(TBL_Q_05_PAS_O2_B[[#This Row],[Yes or No?]]&lt;&gt;"", "Done", "Add"))</f>
        <v>Add</v>
      </c>
      <c r="L12" s="166" t="str">
        <f>IF(TBL_Q_05_PAS_O2_B[[#This Row],[Yes or No?]]="Yes", IF(TBL_Q_05_PAS_O2_B[[#This Row],[Supplier’s unique reference to supporting information]]&lt;&gt;"", "Done", "Add"), "Shade")</f>
        <v>Shade</v>
      </c>
      <c r="M12" s="147"/>
      <c r="N12" s="46"/>
      <c r="O12" s="46"/>
      <c r="P12" s="46"/>
      <c r="Q12" s="46"/>
    </row>
    <row r="13" spans="1:17" ht="100">
      <c r="A13" s="39" t="s">
        <v>1055</v>
      </c>
      <c r="B13" s="50" t="s">
        <v>1063</v>
      </c>
      <c r="C13" s="143" t="s">
        <v>1067</v>
      </c>
      <c r="D13" s="140"/>
      <c r="E13" s="140"/>
      <c r="F13" s="154" t="s">
        <v>1055</v>
      </c>
      <c r="G13" s="140" t="s">
        <v>1050</v>
      </c>
      <c r="H13" s="140" t="s">
        <v>467</v>
      </c>
      <c r="I13" s="255" t="str">
        <f t="shared" si="0"/>
        <v>Yes</v>
      </c>
      <c r="J13" s="143" t="str">
        <f>IF(AND(TBL_Q_05_PAS_O2_B[[#This Row],[Include?]]="Yes", TBL_Q_05_PAS_O2_B[[#This Row],[Response?]]="Yes"), "", "Shade")</f>
        <v/>
      </c>
      <c r="K13" s="143" t="str">
        <f>IF(TBL_Q_05_PAS_O2_B[[#This Row],[Shade]]="Shade", "", IF(TBL_Q_05_PAS_O2_B[[#This Row],[Yes or No?]]&lt;&gt;"", "Done", "Add"))</f>
        <v>Add</v>
      </c>
      <c r="L13" s="166" t="str">
        <f>IF(TBL_Q_05_PAS_O2_B[[#This Row],[Yes or No?]]="Yes", IF(TBL_Q_05_PAS_O2_B[[#This Row],[Supplier’s unique reference to supporting information]]&lt;&gt;"", "Done", "Add"), "Shade")</f>
        <v>Shade</v>
      </c>
      <c r="M13" s="147"/>
      <c r="N13" s="46"/>
      <c r="O13" s="46"/>
      <c r="P13" s="46"/>
      <c r="Q13" s="46"/>
    </row>
    <row r="14" spans="1:17" ht="37.5">
      <c r="A14" s="39" t="s">
        <v>1056</v>
      </c>
      <c r="B14" s="50" t="s">
        <v>1064</v>
      </c>
      <c r="C14" s="143" t="s">
        <v>1068</v>
      </c>
      <c r="D14" s="140"/>
      <c r="E14" s="140"/>
      <c r="F14" s="154" t="s">
        <v>1056</v>
      </c>
      <c r="G14" s="140" t="s">
        <v>1052</v>
      </c>
      <c r="H14" s="140" t="s">
        <v>467</v>
      </c>
      <c r="I14" s="255" t="str">
        <f t="shared" si="0"/>
        <v>Yes</v>
      </c>
      <c r="J14" s="143" t="str">
        <f>IF(AND(TBL_Q_05_PAS_O2_B[[#This Row],[Include?]]="Yes", TBL_Q_05_PAS_O2_B[[#This Row],[Response?]]="Yes"), "", "Shade")</f>
        <v/>
      </c>
      <c r="K14" s="143" t="str">
        <f>IF(TBL_Q_05_PAS_O2_B[[#This Row],[Shade]]="Shade", "", IF(TBL_Q_05_PAS_O2_B[[#This Row],[Yes or No?]]&lt;&gt;"", "Done", "Add"))</f>
        <v>Add</v>
      </c>
      <c r="L14" s="166" t="str">
        <f>IF(TBL_Q_05_PAS_O2_B[[#This Row],[Yes or No?]]="Yes", IF(TBL_Q_05_PAS_O2_B[[#This Row],[Supplier’s unique reference to supporting information]]&lt;&gt;"", "Done", "Add"), "Shade")</f>
        <v>Shade</v>
      </c>
      <c r="M14" s="147"/>
      <c r="N14" s="46"/>
      <c r="O14" s="46"/>
      <c r="P14" s="46"/>
      <c r="Q14" s="46"/>
    </row>
    <row r="15" spans="1:17" ht="75">
      <c r="A15" s="39" t="s">
        <v>1057</v>
      </c>
      <c r="B15" s="50" t="s">
        <v>1060</v>
      </c>
      <c r="C15" s="143" t="s">
        <v>1069</v>
      </c>
      <c r="D15" s="140"/>
      <c r="E15" s="140"/>
      <c r="F15" s="154" t="s">
        <v>1057</v>
      </c>
      <c r="G15" s="140" t="s">
        <v>1054</v>
      </c>
      <c r="H15" s="140" t="s">
        <v>467</v>
      </c>
      <c r="I15" s="255" t="str">
        <f t="shared" si="0"/>
        <v>Yes</v>
      </c>
      <c r="J15" s="143" t="str">
        <f>IF(AND(TBL_Q_05_PAS_O2_B[[#This Row],[Include?]]="Yes", TBL_Q_05_PAS_O2_B[[#This Row],[Response?]]="Yes"), "", "Shade")</f>
        <v/>
      </c>
      <c r="K15" s="143" t="str">
        <f>IF(TBL_Q_05_PAS_O2_B[[#This Row],[Shade]]="Shade", "", IF(TBL_Q_05_PAS_O2_B[[#This Row],[Yes or No?]]&lt;&gt;"", "Done", "Add"))</f>
        <v>Add</v>
      </c>
      <c r="L15" s="166" t="str">
        <f>IF(TBL_Q_05_PAS_O2_B[[#This Row],[Yes or No?]]="Yes", IF(TBL_Q_05_PAS_O2_B[[#This Row],[Supplier’s unique reference to supporting information]]&lt;&gt;"", "Done", "Add"), "Shade")</f>
        <v>Shade</v>
      </c>
      <c r="M15" s="147"/>
      <c r="N15" s="46"/>
      <c r="O15" s="46"/>
      <c r="P15" s="46"/>
      <c r="Q15" s="46"/>
    </row>
    <row r="17" spans="1:12" s="37" customFormat="1" ht="29" customHeight="1">
      <c r="A17" s="37" t="s">
        <v>1775</v>
      </c>
      <c r="B17" s="696" t="s">
        <v>1777</v>
      </c>
      <c r="C17" s="696"/>
      <c r="D17" s="696"/>
      <c r="E17" s="696"/>
      <c r="L17" s="150"/>
    </row>
    <row r="19" spans="1:12" s="37" customFormat="1" ht="12.5">
      <c r="A19" s="37" t="s">
        <v>1102</v>
      </c>
      <c r="B19" s="696" t="s">
        <v>1778</v>
      </c>
      <c r="C19" s="696"/>
      <c r="D19" s="696"/>
      <c r="E19" s="696"/>
      <c r="L19" s="150"/>
    </row>
    <row r="20" spans="1:12" s="37" customFormat="1" ht="12.5">
      <c r="B20" s="328" t="s">
        <v>1779</v>
      </c>
      <c r="C20" s="58"/>
      <c r="L20" s="150"/>
    </row>
  </sheetData>
  <sheetProtection algorithmName="SHA-512" hashValue="7HM4JPZbwdiQBpSlz6924AmkkRnuiJl5qZIS9VynecBkq7KCOBerG7LpV6ItkS5C7RRsFo1vSbBX16Hidg2E5A==" saltValue="sEbpIWt2R5nG0WNwwQ6uhg==" spinCount="100000" sheet="1" objects="1" scenarios="1"/>
  <protectedRanges>
    <protectedRange sqref="D9:E9 D11:E15" name="Responses"/>
  </protectedRanges>
  <dataConsolidate link="1"/>
  <mergeCells count="4">
    <mergeCell ref="B9:C9"/>
    <mergeCell ref="B8:C8"/>
    <mergeCell ref="B17:E17"/>
    <mergeCell ref="B19:E19"/>
  </mergeCells>
  <conditionalFormatting sqref="B9 D9:E9">
    <cfRule type="expression" dxfId="87" priority="2">
      <formula>INDIRECT("J"&amp;ROW())="Shade"</formula>
    </cfRule>
  </conditionalFormatting>
  <conditionalFormatting sqref="B9:E9 B11:E15">
    <cfRule type="expression" dxfId="86" priority="7">
      <formula>INDIRECT("J"&amp;ROW())="Shade"</formula>
    </cfRule>
  </conditionalFormatting>
  <conditionalFormatting sqref="D9 D11:D15">
    <cfRule type="expression" dxfId="85" priority="8">
      <formula>INDIRECT("K"&amp;ROW())="Done"</formula>
    </cfRule>
    <cfRule type="expression" dxfId="84" priority="9">
      <formula>INDIRECT("K"&amp;ROW())="Add"</formula>
    </cfRule>
  </conditionalFormatting>
  <conditionalFormatting sqref="D9:E9">
    <cfRule type="expression" dxfId="83" priority="5">
      <formula>INDIRECT("K"&amp;ROW())="Done"</formula>
    </cfRule>
    <cfRule type="expression" dxfId="82" priority="6">
      <formula>INDIRECT("K"&amp;ROW())="Add"</formula>
    </cfRule>
  </conditionalFormatting>
  <conditionalFormatting sqref="E9 E11:E15">
    <cfRule type="expression" dxfId="81" priority="1">
      <formula>INDIRECT("L"&amp;ROW())="Shade"</formula>
    </cfRule>
    <cfRule type="expression" dxfId="80" priority="3">
      <formula>INDIRECT("L"&amp;ROW())="Done"</formula>
    </cfRule>
    <cfRule type="expression" dxfId="79" priority="4">
      <formula>INDIRECT("L"&amp;ROW())="Add"</formula>
    </cfRule>
  </conditionalFormatting>
  <dataValidations disablePrompts="1" count="1">
    <dataValidation type="list" allowBlank="1" showInputMessage="1" showErrorMessage="1" sqref="D11:D15 D9" xr:uid="{FEA6D80F-D14D-4305-A4B7-5454B75109EC}">
      <formula1>"Yes, No"</formula1>
    </dataValidation>
  </dataValidations>
  <hyperlinks>
    <hyperlink ref="B9:C9" location="'Part 2_Optional 2'!A17" display="The questions in this module need not be completed if your organization holds a certificate of compliance with BS EN ISO 14001 (or equivalent) issued by a Conformity Assessment Body accredited to provide conformity assessment services to that standard**, e.g. accredited by UKAS, or you have a valid EMAS certificate, and can provide information to evidence this." xr:uid="{C542F7EB-0AF3-4917-B7A2-2ABC74418D4E}"/>
    <hyperlink ref="B20" r:id="rId1" xr:uid="{62688BAB-9B2A-4DB0-9AB7-A9097B3266AC}"/>
  </hyperlinks>
  <pageMargins left="0.59055118110236227" right="0.59055118110236227" top="0.39370078740157483" bottom="0.78740157480314965" header="0" footer="0.39370078740157483"/>
  <pageSetup paperSize="9" orientation="landscape" r:id="rId2"/>
  <headerFooter>
    <oddFooter>&amp;C&amp;"Arial,Regular"&amp;10&amp;K00-049&amp;P</oddFooter>
  </headerFooter>
  <tableParts count="1">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02A3B-4599-4BDE-BA30-507BF275F9BE}">
  <sheetPr codeName="Sheet70">
    <tabColor rgb="FFFF0000"/>
  </sheetPr>
  <dimension ref="A1:Q17"/>
  <sheetViews>
    <sheetView showGridLines="0" topLeftCell="O1" zoomScaleNormal="100" workbookViewId="0">
      <selection activeCell="N1" sqref="A1:N1048576"/>
    </sheetView>
  </sheetViews>
  <sheetFormatPr defaultColWidth="9" defaultRowHeight="14"/>
  <cols>
    <col min="1" max="1" width="9.36328125" style="52" hidden="1" customWidth="1"/>
    <col min="2" max="2" width="40" style="52" hidden="1" customWidth="1"/>
    <col min="3" max="3" width="46.6328125" style="45" hidden="1" customWidth="1"/>
    <col min="4" max="4" width="12.54296875" style="3" hidden="1" customWidth="1"/>
    <col min="5" max="5" width="27.36328125" style="3" hidden="1" customWidth="1"/>
    <col min="6" max="6" width="10.6328125" style="3" hidden="1" customWidth="1"/>
    <col min="7" max="7" width="8.08984375" style="3" hidden="1" customWidth="1"/>
    <col min="8" max="8" width="9.453125" style="3" hidden="1" customWidth="1"/>
    <col min="9" max="9" width="10.90625" style="3" hidden="1" customWidth="1"/>
    <col min="10" max="10" width="7.6328125" style="3" hidden="1" customWidth="1"/>
    <col min="11" max="11" width="10.36328125" style="3" hidden="1" customWidth="1"/>
    <col min="12" max="12" width="10.36328125" style="36" hidden="1" customWidth="1"/>
    <col min="13" max="13" width="10.6328125" style="3" hidden="1" customWidth="1"/>
    <col min="14" max="14" width="9.08984375" style="3" hidden="1" customWidth="1"/>
    <col min="15" max="17" width="9.08984375" style="3" customWidth="1"/>
    <col min="18" max="16384" width="9" style="3"/>
  </cols>
  <sheetData>
    <row r="1" spans="1:17" s="94"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46"/>
      <c r="L1" s="351"/>
      <c r="M1" s="352" t="str">
        <f>IF(REF_Alternative="Yes", IF(REF_Alternative_Response="Yes", "N/A",
IF(OR($K$9="Add", $L$9="Add", SUM(COUNTIF(TBL_Q_05_PAS_O3_B[Check_1], "Add"), COUNTIF(TBL_Q_05_PAS_O3_B[Check_2], "Add"))&gt;0), "Incomplete", "Complete")),
IF(OR($K$9="Add", $L$9="Add", SUM(COUNTIF(TBL_Q_05_PAS_O3_B[Check_1], "Add"), COUNTIF(TBL_Q_05_PAS_O3_B[Check_2], "Add"))&gt;0), "Incomplete", "Complete"))</f>
        <v>Incomplete</v>
      </c>
    </row>
    <row r="2" spans="1:17" s="94" customFormat="1" ht="12.5" customHeight="1">
      <c r="A2" s="54" t="str">
        <f t="array" ref="A2">CONCATENATE(INDEX(TBL_DATA_00_Doc_Merge[Supplier_Type], MATCH(1, (REF_Doc_Lot=TBL_DATA_00_Doc_Merge[Lot])*(REF_Job_No=TBL_DATA_00_Doc_Merge[Job_No]),0)), ":")</f>
        <v>Supplier:</v>
      </c>
      <c r="B2" s="54" t="str">
        <f>Response!$A$2</f>
        <v>Purdy Contracts Ltd</v>
      </c>
      <c r="C2" s="346"/>
      <c r="L2" s="351"/>
    </row>
    <row r="3" spans="1:17" s="94" customFormat="1" ht="12.5" customHeight="1">
      <c r="A3" s="345"/>
      <c r="B3" s="345"/>
      <c r="C3" s="346"/>
      <c r="L3" s="351"/>
    </row>
    <row r="4" spans="1:17" ht="17.5">
      <c r="A4" s="88" t="s">
        <v>144</v>
      </c>
      <c r="B4" s="88" t="s">
        <v>1303</v>
      </c>
    </row>
    <row r="6" spans="1:17" s="56" customFormat="1" ht="15.5">
      <c r="A6" s="279" t="s">
        <v>1307</v>
      </c>
      <c r="B6" s="279" t="str">
        <f>IF(REF_Alternative="Yes", IF(REF_Alternative_Response="Yes", "Section not applicable", IF('Project Info'!$K$79="No", "Delete this tab", "Quality management policy and capability")), IF('Project Info'!$K$79="No", "Delete this tab", "Quality management policy and capability"))</f>
        <v>Quality management policy and capability</v>
      </c>
      <c r="D6" s="57"/>
      <c r="E6" s="57"/>
      <c r="F6" s="57"/>
      <c r="L6" s="55"/>
    </row>
    <row r="7" spans="1:17">
      <c r="A7" s="31"/>
      <c r="B7" s="31"/>
      <c r="C7" s="46"/>
      <c r="D7" s="10"/>
      <c r="E7" s="10"/>
      <c r="F7" s="10"/>
      <c r="G7" s="10"/>
      <c r="H7" s="10"/>
      <c r="I7" s="10"/>
      <c r="J7" s="10"/>
      <c r="K7" s="10"/>
      <c r="L7" s="20"/>
      <c r="M7" s="10"/>
      <c r="N7" s="10"/>
      <c r="O7" s="10"/>
      <c r="P7" s="10"/>
      <c r="Q7" s="10"/>
    </row>
    <row r="8" spans="1:17" ht="26">
      <c r="A8" s="172" t="s">
        <v>585</v>
      </c>
      <c r="B8" s="701" t="s">
        <v>1059</v>
      </c>
      <c r="C8" s="702"/>
      <c r="D8" s="173" t="s">
        <v>1058</v>
      </c>
      <c r="E8" s="174" t="s">
        <v>1331</v>
      </c>
      <c r="F8" s="179" t="s">
        <v>714</v>
      </c>
      <c r="G8" s="179" t="s">
        <v>90</v>
      </c>
      <c r="H8" s="173" t="s">
        <v>324</v>
      </c>
      <c r="I8" s="173" t="s">
        <v>1351</v>
      </c>
      <c r="J8" s="179" t="s">
        <v>88</v>
      </c>
      <c r="K8" s="179" t="s">
        <v>1348</v>
      </c>
      <c r="L8" s="179" t="s">
        <v>1349</v>
      </c>
      <c r="M8" s="10"/>
      <c r="N8" s="10"/>
      <c r="O8" s="10"/>
      <c r="P8" s="10"/>
      <c r="Q8" s="10"/>
    </row>
    <row r="9" spans="1:17" ht="56" customHeight="1">
      <c r="A9" s="175" t="s">
        <v>1070</v>
      </c>
      <c r="B9" s="699" t="s">
        <v>1781</v>
      </c>
      <c r="C9" s="700"/>
      <c r="D9" s="176"/>
      <c r="E9" s="177"/>
      <c r="F9" s="154" t="s">
        <v>1070</v>
      </c>
      <c r="G9" s="140" t="s">
        <v>1072</v>
      </c>
      <c r="H9" s="140" t="s">
        <v>467</v>
      </c>
      <c r="I9" s="253" t="s">
        <v>467</v>
      </c>
      <c r="J9" s="143" t="str">
        <f>IF(AND(H9="Yes", I9="Yes"), "", "Shade")</f>
        <v/>
      </c>
      <c r="K9" s="143" t="str">
        <f>IF(J9="Shade", "", IF(D9&lt;&gt;"", "Done", "Add"))</f>
        <v>Add</v>
      </c>
      <c r="L9" s="178" t="str">
        <f>IF(D9="Yes", IF(E9&lt;&gt;"", "Done", "Add"), "Shade")</f>
        <v>Shade</v>
      </c>
      <c r="M9" s="10"/>
      <c r="N9" s="10"/>
      <c r="O9" s="10"/>
      <c r="P9" s="10"/>
      <c r="Q9" s="10"/>
    </row>
    <row r="10" spans="1:17" ht="26">
      <c r="A10" s="153" t="s">
        <v>585</v>
      </c>
      <c r="B10" s="115" t="s">
        <v>146</v>
      </c>
      <c r="C10" s="115" t="s">
        <v>1001</v>
      </c>
      <c r="D10" s="115" t="s">
        <v>844</v>
      </c>
      <c r="E10" s="115" t="s">
        <v>1331</v>
      </c>
      <c r="F10" s="156" t="s">
        <v>714</v>
      </c>
      <c r="G10" s="156" t="s">
        <v>90</v>
      </c>
      <c r="H10" s="115" t="s">
        <v>324</v>
      </c>
      <c r="I10" s="115" t="s">
        <v>1351</v>
      </c>
      <c r="J10" s="156" t="s">
        <v>88</v>
      </c>
      <c r="K10" s="179" t="s">
        <v>1348</v>
      </c>
      <c r="L10" s="179" t="s">
        <v>1349</v>
      </c>
      <c r="M10" s="147"/>
      <c r="N10" s="10"/>
      <c r="O10" s="10"/>
      <c r="P10" s="10"/>
      <c r="Q10" s="10"/>
    </row>
    <row r="11" spans="1:17" ht="87.5">
      <c r="A11" s="39" t="s">
        <v>1071</v>
      </c>
      <c r="B11" s="50" t="s">
        <v>1082</v>
      </c>
      <c r="C11" s="143" t="s">
        <v>1089</v>
      </c>
      <c r="D11" s="140"/>
      <c r="E11" s="140"/>
      <c r="F11" s="154" t="s">
        <v>1071</v>
      </c>
      <c r="G11" s="140" t="s">
        <v>1074</v>
      </c>
      <c r="H11" s="140" t="s">
        <v>467</v>
      </c>
      <c r="I11" s="255" t="str">
        <f>IF($D$9="Yes", "No", "Yes")</f>
        <v>Yes</v>
      </c>
      <c r="J11" s="143" t="str">
        <f>IF(AND(TBL_Q_05_PAS_O3_B[[#This Row],[Include?]]="Yes", TBL_Q_05_PAS_O3_B[[#This Row],[Response?]]="Yes"), "", "Shade")</f>
        <v/>
      </c>
      <c r="K11" s="143" t="str">
        <f>IF(TBL_Q_05_PAS_O3_B[[#This Row],[Shade]]="Shade", "", IF(TBL_Q_05_PAS_O3_B[[#This Row],[Yes or No?]]&lt;&gt;"", "Done", "Add"))</f>
        <v>Add</v>
      </c>
      <c r="L11" s="166" t="str">
        <f>IF(TBL_Q_05_PAS_O3_B[[#This Row],[Yes or No?]]="Yes", IF(TBL_Q_05_PAS_O3_B[[#This Row],[Supplier’s unique reference to supporting information]]&lt;&gt;"", "Done", "Add"), "Shade")</f>
        <v>Shade</v>
      </c>
      <c r="M11" s="147"/>
      <c r="N11" s="46"/>
      <c r="O11" s="46"/>
      <c r="P11" s="46"/>
      <c r="Q11" s="46"/>
    </row>
    <row r="12" spans="1:17" ht="112.5">
      <c r="A12" s="39" t="s">
        <v>1073</v>
      </c>
      <c r="B12" s="50" t="s">
        <v>1083</v>
      </c>
      <c r="C12" s="143" t="s">
        <v>1088</v>
      </c>
      <c r="D12" s="140"/>
      <c r="E12" s="140"/>
      <c r="F12" s="154" t="s">
        <v>1073</v>
      </c>
      <c r="G12" s="140" t="s">
        <v>1076</v>
      </c>
      <c r="H12" s="140" t="s">
        <v>467</v>
      </c>
      <c r="I12" s="255" t="str">
        <f t="shared" ref="I12:I15" si="0">IF($D$9="Yes", "No", "Yes")</f>
        <v>Yes</v>
      </c>
      <c r="J12" s="143" t="str">
        <f>IF(AND(TBL_Q_05_PAS_O3_B[[#This Row],[Include?]]="Yes", TBL_Q_05_PAS_O3_B[[#This Row],[Response?]]="Yes"), "", "Shade")</f>
        <v/>
      </c>
      <c r="K12" s="143" t="str">
        <f>IF(TBL_Q_05_PAS_O3_B[[#This Row],[Shade]]="Shade", "", IF(TBL_Q_05_PAS_O3_B[[#This Row],[Yes or No?]]&lt;&gt;"", "Done", "Add"))</f>
        <v>Add</v>
      </c>
      <c r="L12" s="166" t="str">
        <f>IF(TBL_Q_05_PAS_O3_B[[#This Row],[Yes or No?]]="Yes", IF(TBL_Q_05_PAS_O3_B[[#This Row],[Supplier’s unique reference to supporting information]]&lt;&gt;"", "Done", "Add"), "Shade")</f>
        <v>Shade</v>
      </c>
      <c r="M12" s="147"/>
      <c r="N12" s="46"/>
      <c r="O12" s="46"/>
      <c r="P12" s="46"/>
      <c r="Q12" s="46"/>
    </row>
    <row r="13" spans="1:17" ht="112.5">
      <c r="A13" s="39" t="s">
        <v>1075</v>
      </c>
      <c r="B13" s="50" t="s">
        <v>1084</v>
      </c>
      <c r="C13" s="143" t="s">
        <v>1087</v>
      </c>
      <c r="D13" s="140"/>
      <c r="E13" s="140"/>
      <c r="F13" s="154" t="s">
        <v>1075</v>
      </c>
      <c r="G13" s="140" t="s">
        <v>1078</v>
      </c>
      <c r="H13" s="140" t="s">
        <v>467</v>
      </c>
      <c r="I13" s="255" t="str">
        <f t="shared" si="0"/>
        <v>Yes</v>
      </c>
      <c r="J13" s="143" t="str">
        <f>IF(AND(TBL_Q_05_PAS_O3_B[[#This Row],[Include?]]="Yes", TBL_Q_05_PAS_O3_B[[#This Row],[Response?]]="Yes"), "", "Shade")</f>
        <v/>
      </c>
      <c r="K13" s="143" t="str">
        <f>IF(TBL_Q_05_PAS_O3_B[[#This Row],[Shade]]="Shade", "", IF(TBL_Q_05_PAS_O3_B[[#This Row],[Yes or No?]]&lt;&gt;"", "Done", "Add"))</f>
        <v>Add</v>
      </c>
      <c r="L13" s="166" t="str">
        <f>IF(TBL_Q_05_PAS_O3_B[[#This Row],[Yes or No?]]="Yes", IF(TBL_Q_05_PAS_O3_B[[#This Row],[Supplier’s unique reference to supporting information]]&lt;&gt;"", "Done", "Add"), "Shade")</f>
        <v>Shade</v>
      </c>
      <c r="M13" s="147"/>
      <c r="N13" s="46"/>
      <c r="O13" s="46"/>
      <c r="P13" s="46"/>
      <c r="Q13" s="46"/>
    </row>
    <row r="14" spans="1:17" ht="75">
      <c r="A14" s="39" t="s">
        <v>1077</v>
      </c>
      <c r="B14" s="50" t="s">
        <v>1085</v>
      </c>
      <c r="C14" s="143" t="s">
        <v>1090</v>
      </c>
      <c r="D14" s="140"/>
      <c r="E14" s="140"/>
      <c r="F14" s="154" t="s">
        <v>1077</v>
      </c>
      <c r="G14" s="140" t="s">
        <v>1080</v>
      </c>
      <c r="H14" s="140" t="s">
        <v>467</v>
      </c>
      <c r="I14" s="255" t="str">
        <f t="shared" si="0"/>
        <v>Yes</v>
      </c>
      <c r="J14" s="143" t="str">
        <f>IF(AND(TBL_Q_05_PAS_O3_B[[#This Row],[Include?]]="Yes", TBL_Q_05_PAS_O3_B[[#This Row],[Response?]]="Yes"), "", "Shade")</f>
        <v/>
      </c>
      <c r="K14" s="143" t="str">
        <f>IF(TBL_Q_05_PAS_O3_B[[#This Row],[Shade]]="Shade", "", IF(TBL_Q_05_PAS_O3_B[[#This Row],[Yes or No?]]&lt;&gt;"", "Done", "Add"))</f>
        <v>Add</v>
      </c>
      <c r="L14" s="166" t="str">
        <f>IF(TBL_Q_05_PAS_O3_B[[#This Row],[Yes or No?]]="Yes", IF(TBL_Q_05_PAS_O3_B[[#This Row],[Supplier’s unique reference to supporting information]]&lt;&gt;"", "Done", "Add"), "Shade")</f>
        <v>Shade</v>
      </c>
      <c r="M14" s="147"/>
      <c r="N14" s="46"/>
      <c r="O14" s="46"/>
      <c r="P14" s="46"/>
      <c r="Q14" s="46"/>
    </row>
    <row r="15" spans="1:17" ht="62.5">
      <c r="A15" s="39" t="s">
        <v>1079</v>
      </c>
      <c r="B15" s="50" t="s">
        <v>1086</v>
      </c>
      <c r="C15" s="143" t="s">
        <v>1091</v>
      </c>
      <c r="D15" s="140"/>
      <c r="E15" s="140"/>
      <c r="F15" s="154" t="s">
        <v>1079</v>
      </c>
      <c r="G15" s="140" t="s">
        <v>1081</v>
      </c>
      <c r="H15" s="140" t="s">
        <v>467</v>
      </c>
      <c r="I15" s="255" t="str">
        <f t="shared" si="0"/>
        <v>Yes</v>
      </c>
      <c r="J15" s="143" t="str">
        <f>IF(AND(TBL_Q_05_PAS_O3_B[[#This Row],[Include?]]="Yes", TBL_Q_05_PAS_O3_B[[#This Row],[Response?]]="Yes"), "", "Shade")</f>
        <v/>
      </c>
      <c r="K15" s="143" t="str">
        <f>IF(TBL_Q_05_PAS_O3_B[[#This Row],[Shade]]="Shade", "", IF(TBL_Q_05_PAS_O3_B[[#This Row],[Yes or No?]]&lt;&gt;"", "Done", "Add"))</f>
        <v>Add</v>
      </c>
      <c r="L15" s="166" t="str">
        <f>IF(TBL_Q_05_PAS_O3_B[[#This Row],[Yes or No?]]="Yes", IF(TBL_Q_05_PAS_O3_B[[#This Row],[Supplier’s unique reference to supporting information]]&lt;&gt;"", "Done", "Add"), "Shade")</f>
        <v>Shade</v>
      </c>
      <c r="M15" s="147"/>
      <c r="N15" s="46"/>
      <c r="O15" s="46"/>
      <c r="P15" s="46"/>
      <c r="Q15" s="46"/>
    </row>
    <row r="17" spans="1:12" s="37" customFormat="1" ht="27" customHeight="1">
      <c r="A17" s="37" t="s">
        <v>1775</v>
      </c>
      <c r="B17" s="696" t="s">
        <v>1782</v>
      </c>
      <c r="C17" s="696"/>
      <c r="D17" s="696"/>
      <c r="E17" s="696"/>
      <c r="L17" s="150"/>
    </row>
  </sheetData>
  <sheetProtection algorithmName="SHA-512" hashValue="iVBO4hAon2hTP7xB1e6V8kDZQAYC5dzR4fXhNKo4cFujaRux7GPhVd3zHorXbMtF2vCPt0K2YNXHPeIZAWBAHA==" saltValue="5xgLy/vGeNUUxbAmnFlh5g==" spinCount="100000" sheet="1" formatRows="0"/>
  <protectedRanges>
    <protectedRange sqref="D11:E15 D9:E9 H9 H11:H15" name="Responses"/>
  </protectedRanges>
  <dataConsolidate link="1"/>
  <mergeCells count="3">
    <mergeCell ref="B8:C8"/>
    <mergeCell ref="B9:C9"/>
    <mergeCell ref="B17:E17"/>
  </mergeCells>
  <conditionalFormatting sqref="B9 D9:E9">
    <cfRule type="expression" dxfId="78" priority="2">
      <formula>INDIRECT("J"&amp;ROW())="Shade"</formula>
    </cfRule>
  </conditionalFormatting>
  <conditionalFormatting sqref="B9:E9 B11:E15">
    <cfRule type="expression" dxfId="77" priority="7">
      <formula>INDIRECT("J"&amp;ROW())="Shade"</formula>
    </cfRule>
  </conditionalFormatting>
  <conditionalFormatting sqref="D9 D11:D15">
    <cfRule type="expression" dxfId="76" priority="8">
      <formula>INDIRECT("K"&amp;ROW())="Done"</formula>
    </cfRule>
    <cfRule type="expression" dxfId="75" priority="9">
      <formula>INDIRECT("K"&amp;ROW())="Add"</formula>
    </cfRule>
  </conditionalFormatting>
  <conditionalFormatting sqref="D9:E9">
    <cfRule type="expression" dxfId="74" priority="5">
      <formula>INDIRECT("K"&amp;ROW())="Done"</formula>
    </cfRule>
    <cfRule type="expression" dxfId="73" priority="6">
      <formula>INDIRECT("K"&amp;ROW())="Add"</formula>
    </cfRule>
  </conditionalFormatting>
  <conditionalFormatting sqref="E9 E11:E15">
    <cfRule type="expression" dxfId="72" priority="1">
      <formula>INDIRECT("L"&amp;ROW())="Shade"</formula>
    </cfRule>
    <cfRule type="expression" dxfId="71" priority="3">
      <formula>INDIRECT("L"&amp;ROW())="Done"</formula>
    </cfRule>
    <cfRule type="expression" dxfId="70" priority="4">
      <formula>INDIRECT("L"&amp;ROW())="Add"</formula>
    </cfRule>
  </conditionalFormatting>
  <dataValidations count="1">
    <dataValidation type="list" allowBlank="1" showInputMessage="1" showErrorMessage="1" sqref="D11:D15 D9" xr:uid="{C39C9909-E0A4-49EF-9776-0E3F2AF68AB8}">
      <formula1>"Yes, No"</formula1>
    </dataValidation>
  </dataValidations>
  <hyperlinks>
    <hyperlink ref="B9:C9" location="'Part 2_Optional 3'!A17" display="The questions O3-Q2 to O3-Q6, need not be completed if your organization holds a certificate of compliance with BS EN ISO 9001(or equivalent) issued by a Conformity Assessment Body accredited to provide conformity assessment services to that standard** e.g. accredited by UKAS, and can provide information to evidence this." xr:uid="{523A9E07-C395-44D5-84B4-99E22C51500A}"/>
  </hyperlinks>
  <pageMargins left="0.59055118110236227" right="0.59055118110236227"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571EB-4930-45A1-A892-B29626DAFBE9}">
  <sheetPr codeName="Sheet72">
    <tabColor rgb="FFFF0000"/>
  </sheetPr>
  <dimension ref="A1:J31"/>
  <sheetViews>
    <sheetView showGridLines="0" topLeftCell="K1" zoomScaleNormal="100" workbookViewId="0">
      <selection activeCell="J1" sqref="A1:J1048576"/>
    </sheetView>
  </sheetViews>
  <sheetFormatPr defaultColWidth="9" defaultRowHeight="12.5"/>
  <cols>
    <col min="1" max="1" width="9.36328125" style="37" hidden="1" customWidth="1"/>
    <col min="2" max="2" width="17.90625" style="37" hidden="1" customWidth="1"/>
    <col min="3" max="3" width="64.6328125" style="58" hidden="1" customWidth="1"/>
    <col min="4" max="4" width="12.54296875" style="37" hidden="1" customWidth="1"/>
    <col min="5" max="5" width="10.6328125" style="150" hidden="1" customWidth="1"/>
    <col min="6" max="10" width="9.54296875" style="37" hidden="1" customWidth="1"/>
    <col min="11" max="12" width="9.54296875" style="37" customWidth="1"/>
    <col min="13" max="16384" width="9" style="37"/>
  </cols>
  <sheetData>
    <row r="1" spans="1:10" s="94"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C1" s="346"/>
      <c r="E1" s="352" t="str">
        <f>IF(COUNTIF($D$23:$D$29, "Add")&gt;0, "Incomplete", "Complete")</f>
        <v>Incomplete</v>
      </c>
    </row>
    <row r="2" spans="1:10" s="94" customFormat="1" ht="12.5" customHeight="1">
      <c r="A2" s="54" t="str">
        <f t="array" ref="A2">CONCATENATE(INDEX(TBL_DATA_00_Doc_Merge[Supplier_Type], MATCH(1, (REF_Doc_Lot=TBL_DATA_00_Doc_Merge[Lot])*(REF_Job_No=TBL_DATA_00_Doc_Merge[Job_No]),0)), ":")</f>
        <v>Supplier:</v>
      </c>
      <c r="B2" s="54" t="str">
        <f>Response!$A$2</f>
        <v>Purdy Contracts Ltd</v>
      </c>
      <c r="C2" s="346"/>
      <c r="E2" s="351"/>
    </row>
    <row r="3" spans="1:10" s="94" customFormat="1" ht="12.5" customHeight="1">
      <c r="A3" s="345"/>
      <c r="B3" s="345"/>
      <c r="C3" s="346"/>
      <c r="E3" s="351"/>
    </row>
    <row r="4" spans="1:10" s="3" customFormat="1" ht="17.5">
      <c r="A4" s="88" t="s">
        <v>145</v>
      </c>
      <c r="B4" s="88" t="s">
        <v>1376</v>
      </c>
      <c r="C4" s="45"/>
      <c r="E4" s="36"/>
    </row>
    <row r="5" spans="1:10" s="3" customFormat="1" ht="14">
      <c r="A5" s="52"/>
      <c r="B5" s="52"/>
      <c r="C5" s="45"/>
      <c r="E5" s="36"/>
    </row>
    <row r="6" spans="1:10" s="56" customFormat="1" ht="15.5">
      <c r="A6" s="279" t="s">
        <v>1374</v>
      </c>
      <c r="B6" s="279" t="s">
        <v>1375</v>
      </c>
      <c r="D6" s="57"/>
      <c r="E6" s="55"/>
    </row>
    <row r="7" spans="1:10" s="3" customFormat="1" ht="14">
      <c r="A7" s="31"/>
      <c r="B7" s="31"/>
      <c r="C7" s="46"/>
      <c r="D7" s="10"/>
      <c r="E7" s="20"/>
      <c r="F7" s="10"/>
      <c r="G7" s="10"/>
      <c r="H7" s="10"/>
      <c r="I7" s="10"/>
      <c r="J7" s="10"/>
    </row>
    <row r="8" spans="1:10" s="3" customFormat="1" ht="30.5" customHeight="1">
      <c r="A8" s="31"/>
      <c r="B8" s="698" t="s">
        <v>1377</v>
      </c>
      <c r="C8" s="698"/>
      <c r="D8" s="10"/>
      <c r="E8" s="20"/>
      <c r="F8" s="10"/>
      <c r="G8" s="10"/>
      <c r="H8" s="10"/>
      <c r="I8" s="10"/>
      <c r="J8" s="10"/>
    </row>
    <row r="9" spans="1:10" s="3" customFormat="1" ht="14">
      <c r="A9" s="31"/>
      <c r="B9" s="31"/>
      <c r="C9" s="46"/>
      <c r="D9" s="10"/>
      <c r="E9" s="20"/>
      <c r="F9" s="10"/>
      <c r="G9" s="10"/>
      <c r="H9" s="10"/>
      <c r="I9" s="10"/>
      <c r="J9" s="10"/>
    </row>
    <row r="10" spans="1:10" s="3" customFormat="1" ht="30" customHeight="1">
      <c r="A10" s="31"/>
      <c r="B10" s="698" t="s">
        <v>1378</v>
      </c>
      <c r="C10" s="698"/>
      <c r="D10" s="278"/>
      <c r="E10" s="20"/>
      <c r="F10" s="10"/>
      <c r="G10" s="10"/>
      <c r="H10" s="10"/>
      <c r="I10" s="10"/>
      <c r="J10" s="10"/>
    </row>
    <row r="11" spans="1:10" s="3" customFormat="1" ht="14">
      <c r="A11" s="31"/>
      <c r="B11" s="218"/>
      <c r="C11" s="218"/>
      <c r="D11" s="218"/>
      <c r="E11" s="20"/>
      <c r="F11" s="10"/>
      <c r="G11" s="10"/>
      <c r="H11" s="10"/>
      <c r="I11" s="10"/>
      <c r="J11" s="10"/>
    </row>
    <row r="12" spans="1:10" s="3" customFormat="1" ht="29" customHeight="1">
      <c r="A12" s="31"/>
      <c r="B12" s="698" t="s">
        <v>1379</v>
      </c>
      <c r="C12" s="676"/>
      <c r="D12" s="278"/>
      <c r="E12" s="20"/>
      <c r="F12" s="10"/>
      <c r="G12" s="10"/>
      <c r="H12" s="10"/>
      <c r="I12" s="10"/>
      <c r="J12" s="10"/>
    </row>
    <row r="13" spans="1:10" s="3" customFormat="1" ht="14">
      <c r="A13" s="31"/>
      <c r="B13" s="278"/>
      <c r="C13" s="278"/>
      <c r="D13" s="278"/>
      <c r="E13" s="20"/>
      <c r="F13" s="10"/>
      <c r="G13" s="10"/>
      <c r="H13" s="10"/>
      <c r="I13" s="10"/>
      <c r="J13" s="10"/>
    </row>
    <row r="14" spans="1:10" s="3" customFormat="1" ht="43.25" customHeight="1">
      <c r="A14" s="31"/>
      <c r="B14" s="698" t="s">
        <v>1380</v>
      </c>
      <c r="C14" s="676"/>
      <c r="D14" s="218"/>
      <c r="E14" s="20"/>
      <c r="F14" s="10"/>
      <c r="G14" s="10"/>
      <c r="H14" s="10"/>
      <c r="I14" s="10"/>
      <c r="J14" s="10"/>
    </row>
    <row r="15" spans="1:10" s="3" customFormat="1" ht="14">
      <c r="A15" s="31"/>
      <c r="B15" s="278"/>
      <c r="C15" s="278"/>
      <c r="D15" s="278"/>
      <c r="E15" s="20"/>
      <c r="F15" s="10"/>
      <c r="G15" s="10"/>
      <c r="H15" s="10"/>
      <c r="I15" s="10"/>
      <c r="J15" s="10"/>
    </row>
    <row r="16" spans="1:10" s="3" customFormat="1" ht="14">
      <c r="A16" s="31"/>
      <c r="B16" s="698" t="s">
        <v>149</v>
      </c>
      <c r="C16" s="676"/>
      <c r="D16" s="218"/>
      <c r="E16" s="20"/>
      <c r="F16" s="10"/>
      <c r="G16" s="10"/>
      <c r="H16" s="10"/>
      <c r="I16" s="10"/>
      <c r="J16" s="10"/>
    </row>
    <row r="17" spans="1:10" s="3" customFormat="1" ht="14">
      <c r="A17" s="31"/>
      <c r="B17" s="278"/>
      <c r="C17" s="278"/>
      <c r="D17" s="278"/>
      <c r="E17" s="20"/>
      <c r="F17" s="10"/>
      <c r="G17" s="10"/>
      <c r="H17" s="10"/>
      <c r="I17" s="10"/>
      <c r="J17" s="10"/>
    </row>
    <row r="18" spans="1:10" s="3" customFormat="1" ht="14">
      <c r="A18" s="31"/>
      <c r="B18" s="698" t="s">
        <v>1381</v>
      </c>
      <c r="C18" s="676"/>
      <c r="D18" s="278"/>
      <c r="E18" s="20"/>
      <c r="F18" s="10"/>
      <c r="G18" s="10"/>
      <c r="H18" s="10"/>
      <c r="I18" s="10"/>
      <c r="J18" s="10"/>
    </row>
    <row r="19" spans="1:10" s="3" customFormat="1" ht="14">
      <c r="A19" s="31"/>
      <c r="B19" s="278"/>
      <c r="C19" s="278"/>
      <c r="D19" s="278"/>
      <c r="E19" s="20"/>
      <c r="F19" s="10"/>
      <c r="G19" s="10"/>
      <c r="H19" s="10"/>
      <c r="I19" s="10"/>
      <c r="J19" s="10"/>
    </row>
    <row r="20" spans="1:10" s="3" customFormat="1" ht="34.25" customHeight="1">
      <c r="A20" s="31"/>
      <c r="B20" s="703" t="s">
        <v>1382</v>
      </c>
      <c r="C20" s="703"/>
      <c r="D20" s="278"/>
      <c r="E20" s="20"/>
      <c r="F20" s="10"/>
      <c r="G20" s="10"/>
      <c r="H20" s="10"/>
      <c r="I20" s="10"/>
      <c r="J20" s="10"/>
    </row>
    <row r="21" spans="1:10" s="3" customFormat="1" ht="14">
      <c r="A21" s="37"/>
      <c r="B21" s="58" t="s">
        <v>1383</v>
      </c>
      <c r="C21" s="280"/>
      <c r="D21" s="194"/>
    </row>
    <row r="22" spans="1:10" s="3" customFormat="1" ht="19.5" customHeight="1">
      <c r="A22" s="37"/>
      <c r="B22" s="58"/>
      <c r="C22" s="281" t="s">
        <v>1384</v>
      </c>
      <c r="D22" s="194"/>
    </row>
    <row r="23" spans="1:10" s="3" customFormat="1" ht="14">
      <c r="A23" s="37"/>
      <c r="B23" s="58" t="s">
        <v>1385</v>
      </c>
      <c r="C23" s="280"/>
      <c r="D23" s="194" t="str">
        <f>IF(C23&lt;&gt;"", "", "Add")</f>
        <v>Add</v>
      </c>
    </row>
    <row r="24" spans="1:10" s="3" customFormat="1" ht="14">
      <c r="A24" s="37"/>
      <c r="B24" s="58"/>
      <c r="C24" s="281"/>
      <c r="D24" s="194"/>
    </row>
    <row r="25" spans="1:10" s="3" customFormat="1" ht="14">
      <c r="A25" s="37"/>
      <c r="B25" s="58" t="s">
        <v>501</v>
      </c>
      <c r="C25" s="280"/>
      <c r="D25" s="194" t="str">
        <f>IF(C25&lt;&gt;"", "", "Add")</f>
        <v>Add</v>
      </c>
    </row>
    <row r="26" spans="1:10" s="3" customFormat="1" ht="14">
      <c r="A26" s="37"/>
      <c r="B26" s="58"/>
      <c r="C26" s="281"/>
      <c r="D26" s="194"/>
    </row>
    <row r="27" spans="1:10" s="3" customFormat="1" ht="14">
      <c r="A27" s="58"/>
      <c r="B27" s="58" t="s">
        <v>1386</v>
      </c>
      <c r="C27" s="280"/>
      <c r="D27" s="194" t="str">
        <f t="shared" ref="D27:D29" si="0">IF(C27&lt;&gt;"", "", "Add")</f>
        <v>Add</v>
      </c>
    </row>
    <row r="28" spans="1:10" s="3" customFormat="1" ht="14">
      <c r="A28" s="58"/>
      <c r="B28" s="58"/>
      <c r="C28" s="281"/>
      <c r="D28" s="194"/>
    </row>
    <row r="29" spans="1:10" s="3" customFormat="1" ht="14">
      <c r="A29" s="58"/>
      <c r="B29" s="58" t="s">
        <v>1387</v>
      </c>
      <c r="C29" s="280"/>
      <c r="D29" s="194" t="str">
        <f t="shared" si="0"/>
        <v>Add</v>
      </c>
    </row>
    <row r="31" spans="1:10" s="3" customFormat="1" ht="14">
      <c r="A31" s="52"/>
      <c r="B31" s="52"/>
      <c r="C31" s="45"/>
      <c r="E31" s="36"/>
    </row>
  </sheetData>
  <sheetProtection algorithmName="SHA-512" hashValue="/ghk6pxFoJLukQbb7M1fwouQhyRnbbJLXF87Mw8megC29RP0no27fz2q0XTWeXGKmaN5hd2CwjolCVN34WM2YA==" saltValue="5URdV4xZH26KA+AwLdi4+Q==" spinCount="100000" sheet="1" formatRows="0"/>
  <protectedRanges>
    <protectedRange sqref="C21 C23 C25 C27 C29" name="Response"/>
  </protectedRanges>
  <dataConsolidate link="1"/>
  <mergeCells count="7">
    <mergeCell ref="B8:C8"/>
    <mergeCell ref="B10:C10"/>
    <mergeCell ref="B20:C20"/>
    <mergeCell ref="B18:C18"/>
    <mergeCell ref="B16:C16"/>
    <mergeCell ref="B14:C14"/>
    <mergeCell ref="B12:C12"/>
  </mergeCells>
  <conditionalFormatting sqref="C21:C29">
    <cfRule type="expression" dxfId="69" priority="5">
      <formula>INDIRECT("D"&amp;ROW())="Done"</formula>
    </cfRule>
    <cfRule type="expression" dxfId="68" priority="6">
      <formula>INDIRECT("D"&amp;ROW())="Add"</formula>
    </cfRule>
  </conditionalFormatting>
  <pageMargins left="0.59055118110236227" right="0.59055118110236227" top="0.39370078740157483" bottom="0.78740157480314965" header="0" footer="0.39370078740157483"/>
  <pageSetup paperSize="9" orientation="portrait" r:id="rId1"/>
  <headerFooter>
    <oddFooter>&amp;C&amp;"Arial,Regular"&amp;10&amp;K00-049&amp;P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EA2B7-E76F-4720-A40D-C66797087706}">
  <sheetPr>
    <tabColor rgb="FFFF0000"/>
  </sheetPr>
  <dimension ref="A1:AL181"/>
  <sheetViews>
    <sheetView showGridLines="0" topLeftCell="W1" zoomScaleNormal="100" workbookViewId="0">
      <selection activeCell="V1" sqref="A1:V1048576"/>
    </sheetView>
  </sheetViews>
  <sheetFormatPr defaultColWidth="9" defaultRowHeight="12.5"/>
  <cols>
    <col min="1" max="1" width="9.453125" style="41" hidden="1" customWidth="1"/>
    <col min="2" max="2" width="60.90625" style="10" hidden="1" customWidth="1"/>
    <col min="3" max="3" width="10.6328125" style="20" hidden="1" customWidth="1"/>
    <col min="4" max="4" width="8.453125" style="19" hidden="1" customWidth="1"/>
    <col min="5" max="5" width="11.36328125" style="12" hidden="1" customWidth="1"/>
    <col min="6" max="6" width="7.6328125" style="12" hidden="1" customWidth="1"/>
    <col min="7" max="7" width="9.6328125" style="19" hidden="1" customWidth="1"/>
    <col min="8" max="8" width="12.90625" style="19" hidden="1" customWidth="1"/>
    <col min="9" max="9" width="13.6328125" style="19" hidden="1" customWidth="1"/>
    <col min="10" max="11" width="22.36328125" style="19" hidden="1" customWidth="1"/>
    <col min="12" max="12" width="9.6328125" style="19" hidden="1" customWidth="1"/>
    <col min="13" max="18" width="22.36328125" style="19" hidden="1" customWidth="1"/>
    <col min="19" max="20" width="22.36328125" style="12" hidden="1" customWidth="1"/>
    <col min="21" max="22" width="0" style="12" hidden="1" customWidth="1"/>
    <col min="23" max="16384" width="9" style="12"/>
  </cols>
  <sheetData>
    <row r="1" spans="1:20" s="343" customFormat="1" ht="12.5" customHeight="1">
      <c r="A1" s="54" t="str" cm="1">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351"/>
      <c r="D1" s="29"/>
      <c r="H1" s="581" t="s">
        <v>2224</v>
      </c>
      <c r="J1" s="355" t="str">
        <f>IF(COUNTIF(D:D, "Add")&gt;0, "Incomplete", "Complete")</f>
        <v>Incomplete</v>
      </c>
      <c r="K1" s="29" t="str">
        <f t="array" ref="K1">INDEX(TBL_DATA_00_Doc_Merge[Supplier_Type], MATCH(1, (REF_Doc_Lot=TBL_DATA_00_Doc_Merge[Lot])*(REF_Job_No=TBL_DATA_00_Doc_Merge[Job_No]),0))</f>
        <v>Supplier</v>
      </c>
      <c r="L1" s="29"/>
      <c r="M1" s="29"/>
      <c r="N1" s="29"/>
      <c r="O1" s="29"/>
      <c r="P1" s="29"/>
      <c r="Q1" s="29"/>
      <c r="R1" s="29"/>
      <c r="S1" s="29"/>
      <c r="T1" s="29"/>
    </row>
    <row r="2" spans="1:20" s="343" customFormat="1" ht="12.5" customHeight="1">
      <c r="A2" s="54" t="str">
        <f t="array" ref="A2">CONCATENATE(INDEX(TBL_DATA_00_Doc_Merge[Supplier_Type], MATCH(1, (REF_Doc_Lot=TBL_DATA_00_Doc_Merge[Lot])*(REF_Job_No=TBL_DATA_00_Doc_Merge[Job_No]),0)), ":")</f>
        <v>Supplier:</v>
      </c>
      <c r="B2" s="54" t="str">
        <f>Response!$A$2</f>
        <v>Purdy Contracts Ltd</v>
      </c>
      <c r="C2" s="351"/>
      <c r="D2" s="29"/>
      <c r="H2" s="581" t="s">
        <v>2225</v>
      </c>
      <c r="J2" s="29"/>
      <c r="K2" s="29"/>
      <c r="L2" s="29"/>
      <c r="M2" s="29"/>
      <c r="N2" s="29"/>
      <c r="O2" s="29"/>
      <c r="P2" s="29"/>
      <c r="Q2" s="29"/>
      <c r="R2" s="29"/>
      <c r="S2" s="29"/>
      <c r="T2" s="29"/>
    </row>
    <row r="3" spans="1:20" s="343" customFormat="1" ht="12.5" customHeight="1">
      <c r="A3" s="350"/>
      <c r="B3" s="94"/>
      <c r="C3" s="351"/>
      <c r="D3" s="29"/>
      <c r="H3" s="581" t="s">
        <v>2226</v>
      </c>
      <c r="J3" s="29"/>
      <c r="K3" s="29"/>
      <c r="L3" s="29"/>
      <c r="M3" s="29"/>
      <c r="N3" s="29"/>
      <c r="O3" s="29"/>
      <c r="P3" s="29"/>
      <c r="Q3" s="29"/>
      <c r="R3" s="29"/>
      <c r="S3" s="29"/>
      <c r="T3" s="29"/>
    </row>
    <row r="4" spans="1:20" s="89" customFormat="1" ht="17.5">
      <c r="A4" s="88" t="s">
        <v>145</v>
      </c>
      <c r="B4" s="88" t="str">
        <f>IF($K$4="No", IF('Project Info'!$K$18="PAS", CONCATENATE($L$6, " (Relates to", SUBSTITUTE(J4, "for ", ""), ")"), $L$6), IF('Project Info'!$K$18="SQ", "Selection Questions", CONCATENATE("Supplementary/additional questions", IF('Project Info'!$K$18="PAS", $J$4," "))))</f>
        <v>Supplementary/additional questions</v>
      </c>
      <c r="C4" s="92"/>
      <c r="D4" s="90"/>
      <c r="J4" s="89" t="str">
        <f>IF(REF_Lotted="Yes", IF(REF_Doc_Lot="All", IF(REF_Select_1_Qs="Yes"," for all Lots", "Not used"), CONCATENATE(" for ",SUBSTITUTE(REF_Doc_Lot, "_", " "))), "")</f>
        <v/>
      </c>
      <c r="K4" s="89" t="str">
        <f>IF(REF_Select_Include="No", "No", IF(REF_Lotted="Yes", IF(REF_Doc_Lot="All", IF(REF_Select_1_Qs="Yes", "Yes", "No"), "Yes"), "Yes"))</f>
        <v>Yes</v>
      </c>
    </row>
    <row r="5" spans="1:20" s="1" customFormat="1" ht="14">
      <c r="A5" s="43"/>
      <c r="B5" s="43"/>
      <c r="C5" s="87"/>
      <c r="D5" s="27"/>
      <c r="J5" s="27"/>
      <c r="K5" s="27"/>
      <c r="L5" s="27"/>
      <c r="M5" s="27"/>
      <c r="N5" s="27"/>
      <c r="O5" s="27"/>
      <c r="P5" s="27"/>
      <c r="Q5" s="27"/>
      <c r="R5" s="27"/>
      <c r="S5" s="27"/>
      <c r="T5" s="27"/>
    </row>
    <row r="6" spans="1:20" s="1" customFormat="1" ht="34.5" customHeight="1">
      <c r="A6" s="279" t="str">
        <f>IF('Project Info'!$K$18="PAS", "Q6", "Section 6")</f>
        <v>Q6</v>
      </c>
      <c r="B6" s="705" t="str">
        <f>IF($K$4="No", IF('Project Info'!$K$18="PAS", $L$6, CONCATENATE($L$6, " (Relates to", SUBSTITUTE(J4, "for ", ""), ")")), IF('Project Info'!$K$18="PAS", $J$6, CONCATENATE($K$6, $L$4)))</f>
        <v>including in respect of organizational technical and/or professional capability</v>
      </c>
      <c r="C6" s="705"/>
      <c r="J6" s="27" t="s">
        <v>1861</v>
      </c>
      <c r="K6" s="27" t="s">
        <v>1862</v>
      </c>
      <c r="L6" s="27" t="s">
        <v>213</v>
      </c>
      <c r="M6" s="27"/>
      <c r="N6" s="27"/>
      <c r="O6" s="27"/>
      <c r="P6" s="27"/>
      <c r="Q6" s="27"/>
      <c r="R6" s="27"/>
      <c r="S6" s="27"/>
      <c r="T6" s="27"/>
    </row>
    <row r="7" spans="1:20">
      <c r="C7" s="16"/>
      <c r="D7" s="12"/>
      <c r="S7" s="19"/>
      <c r="T7" s="19"/>
    </row>
    <row r="8" spans="1:20" ht="43.5" customHeight="1">
      <c r="A8" s="678" t="str">
        <f>CONCATENATE($K$1, J8, $K$1, K8, 'Project Info'!$K$15, L8)</f>
        <v>Suppliers must answer all questions in this Section. The responses will be assessed to ascertain the Supplier’s / Group's level of technical experience, competence, capacity and expertise in relation to the works for which it is applying.</v>
      </c>
      <c r="B8" s="678"/>
      <c r="C8" s="678"/>
      <c r="D8" s="12"/>
      <c r="J8" s="276" t="s">
        <v>1864</v>
      </c>
      <c r="K8" s="276" t="s">
        <v>1865</v>
      </c>
      <c r="L8" s="276" t="s">
        <v>1866</v>
      </c>
      <c r="S8" s="19"/>
      <c r="T8" s="19"/>
    </row>
    <row r="9" spans="1:20">
      <c r="A9" s="42"/>
      <c r="B9" s="46"/>
      <c r="C9" s="16"/>
      <c r="D9" s="12"/>
      <c r="J9" s="356"/>
      <c r="S9" s="19"/>
      <c r="T9" s="19"/>
    </row>
    <row r="10" spans="1:20" ht="65" customHeight="1">
      <c r="A10" s="678" t="str">
        <f>CONCATENATE(J10, $K$1, K10, $K$1, L10)</f>
        <v>When responding to the questions set out below, the Supplier / Group must ensure that a full and accurate description of experience is provided in a clear and meaningful manner.  The Supplier / Group in this regard must further demonstrate they have the ability, skills, experience, properly qualified and trained personnel at all levels, support systems and other resources including equipment to fulfil the high standards of quality and delivery required by the Contracting Authority.</v>
      </c>
      <c r="B10" s="678"/>
      <c r="C10" s="678"/>
      <c r="D10" s="12"/>
      <c r="J10" s="276" t="s">
        <v>1867</v>
      </c>
      <c r="K10" s="19" t="s">
        <v>1868</v>
      </c>
      <c r="L10" s="276" t="s">
        <v>1869</v>
      </c>
      <c r="S10" s="19"/>
      <c r="T10" s="19"/>
    </row>
    <row r="11" spans="1:20">
      <c r="A11" s="58"/>
      <c r="B11" s="58"/>
      <c r="C11" s="95"/>
      <c r="D11" s="12"/>
      <c r="S11" s="19"/>
      <c r="T11" s="19"/>
    </row>
    <row r="12" spans="1:20" ht="41.25" customHeight="1">
      <c r="A12" s="696" t="str">
        <f>CONCATENATE(J12, $K$1, K12)</f>
        <v>The Supplier / Group hereby confirms that the Contracting Authority may contact the Clients / Employers stated below for the subject case studies contracts in order to obtain a reference for the purpose of validating the answer to this question only.</v>
      </c>
      <c r="B12" s="706"/>
      <c r="C12" s="706"/>
      <c r="D12" s="12"/>
      <c r="J12" s="276" t="s">
        <v>1870</v>
      </c>
      <c r="K12" s="276" t="s">
        <v>1879</v>
      </c>
      <c r="S12" s="19"/>
      <c r="T12" s="19"/>
    </row>
    <row r="13" spans="1:20">
      <c r="A13" s="58"/>
      <c r="B13" s="37"/>
      <c r="C13" s="95"/>
      <c r="D13" s="12"/>
      <c r="S13" s="19"/>
      <c r="T13" s="19"/>
    </row>
    <row r="14" spans="1:20" ht="12.5" customHeight="1">
      <c r="A14" s="696" t="str">
        <f>CONCATENATE($K$1, J14)</f>
        <v>Suppliers should refer to Part 1 of Document 1 for further instructions on how to present the responses.</v>
      </c>
      <c r="B14" s="706"/>
      <c r="C14" s="706"/>
      <c r="D14" s="12"/>
      <c r="J14" s="276" t="s">
        <v>1877</v>
      </c>
      <c r="S14" s="19"/>
      <c r="T14" s="19"/>
    </row>
    <row r="15" spans="1:20">
      <c r="A15" s="58"/>
      <c r="B15" s="58"/>
      <c r="C15" s="95"/>
      <c r="D15" s="12"/>
      <c r="S15" s="19"/>
      <c r="T15" s="19"/>
    </row>
    <row r="16" spans="1:20" ht="29.25" customHeight="1">
      <c r="A16" s="696" t="str">
        <f>CONCATENATE($K$1, J16)</f>
        <v>Suppliers / Groups are to note that the Contracting Authority wishes to ensure that only suitably qualified and experienced organisations are considered for this contract.</v>
      </c>
      <c r="B16" s="706"/>
      <c r="C16" s="706"/>
      <c r="D16" s="12"/>
      <c r="J16" s="276" t="s">
        <v>1878</v>
      </c>
      <c r="S16" s="19"/>
      <c r="T16" s="19"/>
    </row>
    <row r="17" spans="1:38">
      <c r="A17" s="37"/>
      <c r="B17" s="58"/>
      <c r="C17" s="95"/>
      <c r="D17" s="12"/>
      <c r="G17" s="12"/>
      <c r="H17" s="12"/>
      <c r="I17" s="12"/>
      <c r="S17" s="19"/>
      <c r="T17" s="19"/>
    </row>
    <row r="18" spans="1:38" ht="53" customHeight="1">
      <c r="A18" s="696" t="str">
        <f>IF('Project Info'!$K$14="Open Procedure",IFERROR(CONCATENATE(J18,$K$1, K18, L18, $K$1, M18, N18,O18,P18,Q18),"[Add threshold info on the Questions tab]"),IFERROR(CONCATENATE(J19, $K$1, $K$19, L19,$K$1, M19, N19,O19,P19, " ", Q19),"[Add threshold info on the Questions tab]"))</f>
        <v>Therefore following the assessment of the Supplier / Groups' responses to technical questions set out below, the Contract Authority will only progress to the next stage of the evaluation, those Suppliers / Groups who have achieved a minimum score of 10.00 marks out of the maximum 20.00 marks available.</v>
      </c>
      <c r="B18" s="704"/>
      <c r="C18" s="704"/>
      <c r="D18" s="12"/>
      <c r="G18" s="12"/>
      <c r="H18" s="12"/>
      <c r="I18" s="12"/>
      <c r="J18" s="276" t="s">
        <v>1871</v>
      </c>
      <c r="K18" s="276" t="s">
        <v>1872</v>
      </c>
      <c r="L18" s="298" t="s">
        <v>1873</v>
      </c>
      <c r="M18" s="276" t="s">
        <v>1874</v>
      </c>
      <c r="N18" s="67">
        <f t="array" ref="N18">INDEX(TBL_DATA_02_Q_Info[Select_Min], MATCH(1, ("All"=TBL_DATA_02_Q_Info[Lot])*("Yes"=TBL_DATA_02_Q_Info[Include?]), 0))</f>
        <v>10</v>
      </c>
      <c r="O18" s="67" t="s">
        <v>504</v>
      </c>
      <c r="P18" s="67">
        <f t="array" ref="P18">INDEX(TBL_DATA_02_Q_Info[Select_Points], MATCH(1, ("All"=TBL_DATA_02_Q_Info[Lot])*("Yes"=TBL_DATA_02_Q_Info[Include?]), 0))</f>
        <v>20</v>
      </c>
      <c r="Q18" s="357" t="s">
        <v>505</v>
      </c>
      <c r="R18" s="12"/>
      <c r="S18" s="19"/>
      <c r="T18" s="19"/>
    </row>
    <row r="19" spans="1:38">
      <c r="A19" s="42"/>
      <c r="B19" s="46"/>
      <c r="C19" s="38"/>
      <c r="D19" s="12"/>
      <c r="G19" s="12"/>
      <c r="H19" s="12"/>
      <c r="I19" s="12"/>
      <c r="J19" s="276" t="s">
        <v>1871</v>
      </c>
      <c r="K19" s="276" t="s">
        <v>1872</v>
      </c>
      <c r="L19" s="276" t="s">
        <v>1876</v>
      </c>
      <c r="M19" s="276" t="s">
        <v>1875</v>
      </c>
      <c r="N19" s="19" t="str">
        <f t="array" ref="N19">INDEX(TBL_DATA_00_Doc_Merge[Lot_1_ITT_Min],MATCH(1,(REF_Doc_Lot=TBL_DATA_00_Doc_Merge[Lot])*(REF_Job_No=TBL_DATA_00_Doc_Merge[Job_No]),0))</f>
        <v/>
      </c>
      <c r="O19" s="19" t="s">
        <v>1308</v>
      </c>
      <c r="P19" s="19" t="str">
        <f t="array" ref="P19">INDEX(TBL_DATA_00_Doc_Merge[Lot_1_ITT_Max],MATCH(1,(REF_Doc_Lot=TBL_DATA_00_Doc_Merge[Lot])*(REF_Job_No=TBL_DATA_00_Doc_Merge[Job_No]),0))</f>
        <v/>
      </c>
      <c r="Q19" s="19" t="str">
        <f>CONCATENATE($K$1, IF(REF_Lotted="Yes", "s per lot.", "."))</f>
        <v>Supplier.</v>
      </c>
      <c r="R19" s="12"/>
      <c r="S19" s="19"/>
      <c r="T19" s="19"/>
    </row>
    <row r="20" spans="1:38" ht="13">
      <c r="A20" s="72" t="s">
        <v>446</v>
      </c>
      <c r="B20" s="63" t="s">
        <v>146</v>
      </c>
      <c r="C20" s="136" t="s">
        <v>19</v>
      </c>
      <c r="D20" s="136" t="s">
        <v>487</v>
      </c>
      <c r="E20" s="136" t="s">
        <v>330</v>
      </c>
      <c r="F20" s="136" t="s">
        <v>337</v>
      </c>
      <c r="G20" s="358" t="s">
        <v>567</v>
      </c>
      <c r="H20" s="545" t="s">
        <v>488</v>
      </c>
      <c r="I20" s="546"/>
      <c r="S20" s="19"/>
      <c r="T20" s="19"/>
      <c r="U20" s="19"/>
      <c r="V20" s="19"/>
      <c r="W20" s="19"/>
      <c r="X20" s="19"/>
      <c r="Y20" s="19"/>
      <c r="Z20" s="19"/>
      <c r="AA20" s="19"/>
      <c r="AB20" s="19"/>
      <c r="AC20" s="19"/>
      <c r="AD20" s="19"/>
      <c r="AE20" s="19"/>
      <c r="AF20" s="19"/>
      <c r="AG20" s="19"/>
      <c r="AH20" s="19"/>
      <c r="AI20" s="19"/>
      <c r="AJ20" s="19"/>
      <c r="AK20" s="19"/>
      <c r="AL20" s="19"/>
    </row>
    <row r="21" spans="1:38" ht="78">
      <c r="A21" s="68" t="s">
        <v>220</v>
      </c>
      <c r="B21" s="68" t="str">
        <f t="array" ref="B21">IF(REF_CCS_Q="Yes", "Relevant experience and contract examples
", CONCATENATE(INDEX(TBL_ADD_04_Qs_All[Question / Sub-question], MATCH(1, (TBL_Q_06_Select_All[[#This Row],[Q. No.]]=TBL_ADD_04_Qs_All[Q.])*(TBL_Q_06_Select_All[[#This Row],[Type]]=TBL_ADD_04_Qs_All[Type])*("Select"=TBL_ADD_04_Qs_All[Section]),0)), "
"))</f>
        <v xml:space="preserve">Please provide details of up to three contracts, in any combination from either the public or private sector; voluntary, charity or social enterprise (VCSE) that are relevant to our requirement. VCSEs may include samples of grant-funded work.  Works contracts may be from the past five years.
</v>
      </c>
      <c r="C21" s="490"/>
      <c r="D21" s="473" t="str">
        <f>IF(TBL_Q_06_Select_All[[#This Row],[Type]]="Question", IF(OR(TBL_Q_06_Select_All[[#This Row],[Shade?]]="Shade", TBL_Q_06_Select_All[[#This Row],[Question]]="Question not used
"), "", IF(TBL_Q_06_Select_All[[#This Row],[Response]]&lt;&gt;"", "Done", "Add")), "")</f>
        <v>Add</v>
      </c>
      <c r="E21" s="491" t="s">
        <v>146</v>
      </c>
      <c r="F21" s="487" t="s">
        <v>220</v>
      </c>
      <c r="G21" s="475" t="s">
        <v>24</v>
      </c>
      <c r="H21" s="486" t="str" cm="1">
        <f t="array" ref="H2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21" s="546"/>
      <c r="O21" s="12"/>
      <c r="P21" s="12"/>
      <c r="Q21" s="12"/>
      <c r="R21" s="12"/>
    </row>
    <row r="22" spans="1:38" ht="25">
      <c r="A22" s="120"/>
      <c r="B22" s="68" t="str">
        <f>IF(REF_CCS_Q="Yes", $J$22, "Not used
")</f>
        <v xml:space="preserve">Not used
</v>
      </c>
      <c r="C22" s="480"/>
      <c r="D22" s="473" t="str">
        <f>IF(TBL_Q_06_Select_All[[#This Row],[Type]]="Question", IF(OR(TBL_Q_06_Select_All[[#This Row],[Shade?]]="Shade", TBL_Q_06_Select_All[[#This Row],[Question]]="Question not used
"), "", IF(TBL_Q_06_Select_All[[#This Row],[Response]]&lt;&gt;"", "Done", "Add")), "")</f>
        <v/>
      </c>
      <c r="E22" s="491" t="s">
        <v>332</v>
      </c>
      <c r="F22" s="487" t="s">
        <v>220</v>
      </c>
      <c r="G22" s="475" t="s">
        <v>24</v>
      </c>
      <c r="H22" s="486" t="str" cm="1">
        <f t="array" ref="H2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22" s="546"/>
      <c r="J22" s="276" t="s">
        <v>1527</v>
      </c>
      <c r="O22" s="12"/>
      <c r="P22" s="12"/>
      <c r="Q22" s="12"/>
      <c r="R22" s="12"/>
    </row>
    <row r="23" spans="1:38" ht="52">
      <c r="A23" s="492" t="s">
        <v>220</v>
      </c>
      <c r="B23" s="69" t="str">
        <f t="array" ref="B2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The maximum score for Q6.1 is 15.00 marks (3 elements x 5.00 marks).  The response to Q6.1 should have a word count of not more than 1500 words.
</v>
      </c>
      <c r="C23" s="480"/>
      <c r="D23" s="473" t="str">
        <f>IF(TBL_Q_06_Select_All[[#This Row],[Type]]="Question", IF(OR(TBL_Q_06_Select_All[[#This Row],[Shade?]]="Shade", TBL_Q_06_Select_All[[#This Row],[Question]]="Question not used
"), "", IF(TBL_Q_06_Select_All[[#This Row],[Response]]&lt;&gt;"", "Done", "Add")), "")</f>
        <v/>
      </c>
      <c r="E23" s="491" t="s">
        <v>348</v>
      </c>
      <c r="F23" s="487" t="s">
        <v>220</v>
      </c>
      <c r="G23" s="473"/>
      <c r="H23" s="486" t="str" cm="1">
        <f t="array" ref="H2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23" s="546"/>
      <c r="O23" s="12"/>
      <c r="P23" s="12"/>
      <c r="Q23" s="12"/>
      <c r="R23" s="12"/>
    </row>
    <row r="24" spans="1:38" ht="37.5">
      <c r="A24" s="69" t="s">
        <v>221</v>
      </c>
      <c r="B24" s="69" t="str">
        <f t="array" ref="B24">IF(REF_CCS_Q="Yes", "Contract 1:", CONCATENATE(INDEX(TBL_ADD_04_Qs_All[Question / Sub-question], MATCH(1, (TBL_Q_06_Select_All[[#This Row],[Q. No.]]=TBL_ADD_04_Qs_All[Q.])*(TBL_Q_06_Select_All[[#This Row],[Type]]=TBL_ADD_04_Qs_All[Type])*("Select"=TBL_ADD_04_Qs_All[Section]),0)), "
"))</f>
        <v xml:space="preserve">Contract 1:  Contract details and brief description of the contract delivered including evidence as to your technical capability in this market
</v>
      </c>
      <c r="C24" s="493"/>
      <c r="D24" s="473" t="str">
        <f>IF(TBL_Q_06_Select_All[[#This Row],[Type]]="Question", IF(OR(TBL_Q_06_Select_All[[#This Row],[Shade?]]="Shade", TBL_Q_06_Select_All[[#This Row],[Question]]="Question not used
"), "", IF(TBL_Q_06_Select_All[[#This Row],[Response]]&lt;&gt;"", "Done", "Add")), "")</f>
        <v/>
      </c>
      <c r="E24" s="491" t="s">
        <v>332</v>
      </c>
      <c r="F24" s="487" t="s">
        <v>220</v>
      </c>
      <c r="G24" s="473"/>
      <c r="H24" s="486" t="str" cm="1">
        <f t="array" ref="H2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24" s="546"/>
      <c r="O24" s="12"/>
      <c r="P24" s="12"/>
      <c r="Q24" s="12"/>
      <c r="R24" s="12"/>
    </row>
    <row r="25" spans="1:38" ht="25">
      <c r="A25" s="69"/>
      <c r="B25" s="69" t="str">
        <f>IF(REF_CCS_Q="Yes","Name of customer organisation
Point of contact in the organisation
Position in the organisation
E-mail address
Description of contract
Contract Start date
Contract completion date
Estimated contract value
","Not used
")</f>
        <v xml:space="preserve">Not used
</v>
      </c>
      <c r="C25" s="480"/>
      <c r="D25" s="473" t="str">
        <f>IF(TBL_Q_06_Select_All[[#This Row],[Type]]="Question", IF(OR(TBL_Q_06_Select_All[[#This Row],[Shade?]]="Shade", TBL_Q_06_Select_All[[#This Row],[Question]]="Question not used
"), "", IF(TBL_Q_06_Select_All[[#This Row],[Response]]&lt;&gt;"", "Done", "Add")), "")</f>
        <v/>
      </c>
      <c r="E25" s="491" t="s">
        <v>332</v>
      </c>
      <c r="F25" s="487" t="s">
        <v>220</v>
      </c>
      <c r="G25" s="500" t="s">
        <v>568</v>
      </c>
      <c r="H25" s="486" t="str" cm="1">
        <f t="array" ref="H2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25" s="546"/>
      <c r="O25" s="12"/>
      <c r="P25" s="12"/>
      <c r="Q25" s="12"/>
      <c r="R25" s="12"/>
    </row>
    <row r="26" spans="1:38" ht="37.5">
      <c r="A26" s="69" t="s">
        <v>222</v>
      </c>
      <c r="B26" s="69" t="str">
        <f t="array" ref="B26">IF(REF_CCS_Q="Yes", "Contract 2:", CONCATENATE(INDEX(TBL_ADD_04_Qs_All[Question / Sub-question], MATCH(1, (TBL_Q_06_Select_All[[#This Row],[Q. No.]]=TBL_ADD_04_Qs_All[Q.])*(TBL_Q_06_Select_All[[#This Row],[Type]]=TBL_ADD_04_Qs_All[Type])*("Select"=TBL_ADD_04_Qs_All[Section]),0)), "
"))</f>
        <v xml:space="preserve">Contract 2:  Contract details and brief description of the contract delivered including evidence as to your technical capability in this market
</v>
      </c>
      <c r="C26" s="493"/>
      <c r="D26" s="473" t="str">
        <f>IF(TBL_Q_06_Select_All[[#This Row],[Type]]="Question", IF(OR(TBL_Q_06_Select_All[[#This Row],[Shade?]]="Shade", TBL_Q_06_Select_All[[#This Row],[Question]]="Question not used
"), "", IF(TBL_Q_06_Select_All[[#This Row],[Response]]&lt;&gt;"", "Done", "Add")), "")</f>
        <v/>
      </c>
      <c r="E26" s="491" t="s">
        <v>332</v>
      </c>
      <c r="F26" s="487" t="s">
        <v>220</v>
      </c>
      <c r="G26" s="473"/>
      <c r="H26" s="486" t="str" cm="1">
        <f t="array" ref="H2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26" s="546"/>
      <c r="O26" s="12"/>
      <c r="P26" s="12"/>
      <c r="Q26" s="12"/>
      <c r="R26" s="12"/>
    </row>
    <row r="27" spans="1:38" ht="25">
      <c r="A27" s="69"/>
      <c r="B27" s="69" t="str">
        <f>IF(REF_CCS_Q="Yes","Name of customer organisation
Point of contact in the organisation
Position in the organisation
E-mail address
Description of contract
Contract Start date
Contract completion date
Estimated contract value
","Not used
")</f>
        <v xml:space="preserve">Not used
</v>
      </c>
      <c r="C27" s="480"/>
      <c r="D27" s="473" t="str">
        <f>IF(TBL_Q_06_Select_All[[#This Row],[Type]]="Question", IF(OR(TBL_Q_06_Select_All[[#This Row],[Shade?]]="Shade", TBL_Q_06_Select_All[[#This Row],[Question]]="Question not used
"), "", IF(TBL_Q_06_Select_All[[#This Row],[Response]]&lt;&gt;"", "Done", "Add")), "")</f>
        <v/>
      </c>
      <c r="E27" s="491" t="s">
        <v>332</v>
      </c>
      <c r="F27" s="487" t="s">
        <v>220</v>
      </c>
      <c r="G27" s="500" t="s">
        <v>572</v>
      </c>
      <c r="H27" s="486" t="str" cm="1">
        <f t="array" ref="H2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27" s="546"/>
      <c r="O27" s="12"/>
      <c r="P27" s="12"/>
      <c r="Q27" s="12"/>
      <c r="R27" s="12"/>
    </row>
    <row r="28" spans="1:38" ht="37.5">
      <c r="A28" s="69" t="s">
        <v>223</v>
      </c>
      <c r="B28" s="69" t="str">
        <f t="array" ref="B28">IF(REF_CCS_Q="Yes", "Contract 3:", CONCATENATE(INDEX(TBL_ADD_04_Qs_All[Question / Sub-question], MATCH(1, (TBL_Q_06_Select_All[[#This Row],[Q. No.]]=TBL_ADD_04_Qs_All[Q.])*(TBL_Q_06_Select_All[[#This Row],[Type]]=TBL_ADD_04_Qs_All[Type])*("Select"=TBL_ADD_04_Qs_All[Section]),0)), "
"))</f>
        <v xml:space="preserve">Contract 3:  Contract details and brief description of the contract delivered including evidence as to your technical capability in this market
</v>
      </c>
      <c r="C28" s="493"/>
      <c r="D28" s="473" t="str">
        <f>IF(TBL_Q_06_Select_All[[#This Row],[Type]]="Question", IF(OR(TBL_Q_06_Select_All[[#This Row],[Shade?]]="Shade", TBL_Q_06_Select_All[[#This Row],[Question]]="Question not used
"), "", IF(TBL_Q_06_Select_All[[#This Row],[Response]]&lt;&gt;"", "Done", "Add")), "")</f>
        <v/>
      </c>
      <c r="E28" s="491" t="s">
        <v>332</v>
      </c>
      <c r="F28" s="487" t="s">
        <v>220</v>
      </c>
      <c r="G28" s="473"/>
      <c r="H28" s="486" t="str" cm="1">
        <f t="array" ref="H2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28" s="546"/>
      <c r="O28" s="12"/>
      <c r="P28" s="12"/>
      <c r="Q28" s="12"/>
      <c r="R28" s="12"/>
    </row>
    <row r="29" spans="1:38" ht="25">
      <c r="A29" s="69"/>
      <c r="B29" s="69" t="str">
        <f>IF(REF_CCS_Q="Yes","Name of customer organisation
Point of contact in the organisation
Position in the organisation
E-mail address
Description of contract
Contract Start date
Contract completion date
Estimated contract value
","Not used
")</f>
        <v xml:space="preserve">Not used
</v>
      </c>
      <c r="C29" s="480"/>
      <c r="D29" s="473" t="str">
        <f>IF(TBL_Q_06_Select_All[[#This Row],[Type]]="Question", IF(OR(TBL_Q_06_Select_All[[#This Row],[Shade?]]="Shade", TBL_Q_06_Select_All[[#This Row],[Question]]="Question not used
"), "", IF(TBL_Q_06_Select_All[[#This Row],[Response]]&lt;&gt;"", "Done", "Add")), "")</f>
        <v/>
      </c>
      <c r="E29" s="491" t="s">
        <v>332</v>
      </c>
      <c r="F29" s="487" t="s">
        <v>220</v>
      </c>
      <c r="G29" s="500" t="s">
        <v>569</v>
      </c>
      <c r="H29" s="486" t="str" cm="1">
        <f t="array" ref="H2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29" s="546"/>
      <c r="O29" s="12"/>
      <c r="P29" s="12"/>
      <c r="Q29" s="12"/>
      <c r="R29" s="12"/>
    </row>
    <row r="30" spans="1:38" ht="25">
      <c r="A30" s="120" t="s">
        <v>1788</v>
      </c>
      <c r="B30" s="69" t="str">
        <f t="array" ref="B3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0" s="493"/>
      <c r="D30" s="473" t="str">
        <f>IF(TBL_Q_06_Select_All[[#This Row],[Type]]="Question", IF(OR(TBL_Q_06_Select_All[[#This Row],[Shade?]]="Shade", TBL_Q_06_Select_All[[#This Row],[Question]]="Question not used
"), "", IF(TBL_Q_06_Select_All[[#This Row],[Response]]&lt;&gt;"", "Done", "Add")), "")</f>
        <v/>
      </c>
      <c r="E30" s="491" t="s">
        <v>332</v>
      </c>
      <c r="F30" s="487" t="s">
        <v>220</v>
      </c>
      <c r="G30" s="500" t="s">
        <v>570</v>
      </c>
      <c r="H30" s="486" t="str" cm="1">
        <f t="array" ref="H3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0" s="546"/>
      <c r="O30" s="12"/>
      <c r="P30" s="12"/>
      <c r="Q30" s="12"/>
      <c r="R30" s="12"/>
    </row>
    <row r="31" spans="1:38" ht="25">
      <c r="A31" s="120" t="s">
        <v>1789</v>
      </c>
      <c r="B31" s="69" t="str">
        <f t="array" ref="B3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1" s="493"/>
      <c r="D31" s="473" t="str">
        <f>IF(TBL_Q_06_Select_All[[#This Row],[Type]]="Question", IF(OR(TBL_Q_06_Select_All[[#This Row],[Shade?]]="Shade", TBL_Q_06_Select_All[[#This Row],[Question]]="Question not used
"), "", IF(TBL_Q_06_Select_All[[#This Row],[Response]]&lt;&gt;"", "Done", "Add")), "")</f>
        <v/>
      </c>
      <c r="E31" s="491" t="s">
        <v>332</v>
      </c>
      <c r="F31" s="487" t="s">
        <v>220</v>
      </c>
      <c r="G31" s="500" t="s">
        <v>571</v>
      </c>
      <c r="H31" s="486" t="str" cm="1">
        <f t="array" ref="H3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1" s="546"/>
      <c r="O31" s="12"/>
      <c r="P31" s="12"/>
      <c r="Q31" s="12"/>
      <c r="R31" s="12"/>
    </row>
    <row r="32" spans="1:38" ht="25">
      <c r="A32" s="120" t="s">
        <v>1790</v>
      </c>
      <c r="B32" s="69" t="str">
        <f t="array" ref="B3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2" s="493"/>
      <c r="D32" s="473" t="str">
        <f>IF(TBL_Q_06_Select_All[[#This Row],[Type]]="Question", IF(OR(TBL_Q_06_Select_All[[#This Row],[Shade?]]="Shade", TBL_Q_06_Select_All[[#This Row],[Question]]="Question not used
"), "", IF(TBL_Q_06_Select_All[[#This Row],[Response]]&lt;&gt;"", "Done", "Add")), "")</f>
        <v/>
      </c>
      <c r="E32" s="491" t="s">
        <v>332</v>
      </c>
      <c r="F32" s="487" t="s">
        <v>220</v>
      </c>
      <c r="G32" s="500" t="s">
        <v>573</v>
      </c>
      <c r="H32" s="486" t="str" cm="1">
        <f t="array" ref="H3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2" s="546"/>
      <c r="O32" s="12"/>
      <c r="P32" s="12"/>
      <c r="Q32" s="12"/>
      <c r="R32" s="12"/>
    </row>
    <row r="33" spans="1:29" s="19" customFormat="1" ht="25">
      <c r="A33" s="120" t="s">
        <v>1791</v>
      </c>
      <c r="B33" s="69" t="str">
        <f t="array" ref="B3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3" s="493"/>
      <c r="D33" s="473" t="str">
        <f>IF(TBL_Q_06_Select_All[[#This Row],[Type]]="Question", IF(OR(TBL_Q_06_Select_All[[#This Row],[Shade?]]="Shade", TBL_Q_06_Select_All[[#This Row],[Question]]="Question not used
"), "", IF(TBL_Q_06_Select_All[[#This Row],[Response]]&lt;&gt;"", "Done", "Add")), "")</f>
        <v/>
      </c>
      <c r="E33" s="491" t="s">
        <v>332</v>
      </c>
      <c r="F33" s="487" t="s">
        <v>220</v>
      </c>
      <c r="G33" s="500" t="s">
        <v>574</v>
      </c>
      <c r="H33" s="486" t="str" cm="1">
        <f t="array" ref="H3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3" s="546"/>
      <c r="O33" s="12"/>
      <c r="P33" s="12"/>
      <c r="Q33" s="12"/>
      <c r="R33" s="12"/>
      <c r="S33" s="12"/>
      <c r="T33" s="12"/>
      <c r="U33" s="12"/>
      <c r="V33" s="12"/>
      <c r="W33" s="12"/>
      <c r="X33" s="12"/>
      <c r="Y33" s="12"/>
      <c r="Z33" s="12"/>
      <c r="AA33" s="12"/>
      <c r="AB33" s="12"/>
      <c r="AC33" s="12"/>
    </row>
    <row r="34" spans="1:29" s="19" customFormat="1" ht="25">
      <c r="A34" s="120" t="s">
        <v>1792</v>
      </c>
      <c r="B34" s="69" t="str">
        <f t="array" ref="B3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4" s="493"/>
      <c r="D34" s="473" t="str">
        <f>IF(TBL_Q_06_Select_All[[#This Row],[Type]]="Question", IF(OR(TBL_Q_06_Select_All[[#This Row],[Shade?]]="Shade", TBL_Q_06_Select_All[[#This Row],[Question]]="Question not used
"), "", IF(TBL_Q_06_Select_All[[#This Row],[Response]]&lt;&gt;"", "Done", "Add")), "")</f>
        <v/>
      </c>
      <c r="E34" s="491" t="s">
        <v>332</v>
      </c>
      <c r="F34" s="487" t="s">
        <v>220</v>
      </c>
      <c r="G34" s="500" t="s">
        <v>575</v>
      </c>
      <c r="H34" s="486" t="str" cm="1">
        <f t="array" ref="H3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4" s="546"/>
      <c r="O34" s="12"/>
      <c r="P34" s="12"/>
      <c r="Q34" s="12"/>
      <c r="R34" s="12"/>
      <c r="S34" s="12"/>
      <c r="T34" s="12"/>
      <c r="U34" s="12"/>
      <c r="V34" s="12"/>
      <c r="W34" s="12"/>
      <c r="X34" s="12"/>
      <c r="Y34" s="12"/>
      <c r="Z34" s="12"/>
      <c r="AA34" s="12"/>
      <c r="AB34" s="12"/>
      <c r="AC34" s="12"/>
    </row>
    <row r="35" spans="1:29" s="19" customFormat="1" ht="25">
      <c r="A35" s="120" t="s">
        <v>1793</v>
      </c>
      <c r="B35" s="69" t="str">
        <f t="array" ref="B3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5" s="493"/>
      <c r="D35" s="473" t="str">
        <f>IF(TBL_Q_06_Select_All[[#This Row],[Type]]="Question", IF(OR(TBL_Q_06_Select_All[[#This Row],[Shade?]]="Shade", TBL_Q_06_Select_All[[#This Row],[Question]]="Question not used
"), "", IF(TBL_Q_06_Select_All[[#This Row],[Response]]&lt;&gt;"", "Done", "Add")), "")</f>
        <v/>
      </c>
      <c r="E35" s="491" t="s">
        <v>332</v>
      </c>
      <c r="F35" s="487" t="s">
        <v>220</v>
      </c>
      <c r="G35" s="500" t="s">
        <v>576</v>
      </c>
      <c r="H35" s="486" t="str" cm="1">
        <f t="array" ref="H3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5" s="546"/>
      <c r="O35" s="12"/>
      <c r="P35" s="12"/>
      <c r="Q35" s="12"/>
      <c r="R35" s="12"/>
      <c r="S35" s="12"/>
      <c r="T35" s="12"/>
      <c r="U35" s="12"/>
      <c r="V35" s="12"/>
      <c r="W35" s="12"/>
      <c r="X35" s="12"/>
      <c r="Y35" s="12"/>
      <c r="Z35" s="12"/>
      <c r="AA35" s="12"/>
      <c r="AB35" s="12"/>
      <c r="AC35" s="12"/>
    </row>
    <row r="36" spans="1:29" s="19" customFormat="1" ht="25">
      <c r="A36" s="120" t="s">
        <v>1794</v>
      </c>
      <c r="B36" s="69" t="str">
        <f t="array" ref="B3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6" s="493"/>
      <c r="D36" s="473" t="str">
        <f>IF(TBL_Q_06_Select_All[[#This Row],[Type]]="Question", IF(OR(TBL_Q_06_Select_All[[#This Row],[Shade?]]="Shade", TBL_Q_06_Select_All[[#This Row],[Question]]="Question not used
"), "", IF(TBL_Q_06_Select_All[[#This Row],[Response]]&lt;&gt;"", "Done", "Add")), "")</f>
        <v/>
      </c>
      <c r="E36" s="491" t="s">
        <v>332</v>
      </c>
      <c r="F36" s="487" t="s">
        <v>220</v>
      </c>
      <c r="G36" s="500" t="s">
        <v>577</v>
      </c>
      <c r="H36" s="486" t="str" cm="1">
        <f t="array" ref="H3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6" s="546"/>
      <c r="O36" s="12"/>
      <c r="P36" s="12"/>
      <c r="Q36" s="12"/>
      <c r="R36" s="12"/>
      <c r="S36" s="12"/>
      <c r="T36" s="12"/>
      <c r="U36" s="12"/>
      <c r="V36" s="12"/>
      <c r="W36" s="12"/>
      <c r="X36" s="12"/>
      <c r="Y36" s="12"/>
      <c r="Z36" s="12"/>
      <c r="AA36" s="12"/>
      <c r="AB36" s="12"/>
      <c r="AC36" s="12"/>
    </row>
    <row r="37" spans="1:29" s="19" customFormat="1" ht="26">
      <c r="A37" s="73" t="s">
        <v>224</v>
      </c>
      <c r="B37" s="71" t="str">
        <f t="array" ref="B3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
</v>
      </c>
      <c r="C37" s="494"/>
      <c r="D37" s="478" t="str">
        <f>IF(TBL_Q_06_Select_All[[#This Row],[Type]]="Question", IF(OR(TBL_Q_06_Select_All[[#This Row],[Shade?]]="Shade", TBL_Q_06_Select_All[[#This Row],[Question]]="Question not used
"), "", IF(TBL_Q_06_Select_All[[#This Row],[Response]]&lt;&gt;"", "Done", "Add")), "")</f>
        <v>Add</v>
      </c>
      <c r="E37" s="495" t="s">
        <v>146</v>
      </c>
      <c r="F37" s="489" t="s">
        <v>224</v>
      </c>
      <c r="G37" s="500" t="s">
        <v>24</v>
      </c>
      <c r="H37" s="486" t="str" cm="1">
        <f t="array" ref="H3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37" s="546"/>
      <c r="O37" s="12"/>
      <c r="P37" s="12"/>
      <c r="Q37" s="12"/>
      <c r="R37" s="12"/>
      <c r="S37" s="12"/>
      <c r="T37" s="12"/>
      <c r="U37" s="12"/>
      <c r="V37" s="12"/>
      <c r="W37" s="12"/>
      <c r="X37" s="12"/>
      <c r="Y37" s="12"/>
      <c r="Z37" s="12"/>
      <c r="AA37" s="12"/>
      <c r="AB37" s="12"/>
      <c r="AC37" s="12"/>
    </row>
    <row r="38" spans="1:29" s="19" customFormat="1" ht="26">
      <c r="A38" s="74" t="s">
        <v>224</v>
      </c>
      <c r="B38" s="69" t="str">
        <f t="array" ref="B3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
</v>
      </c>
      <c r="C38" s="493"/>
      <c r="D38" s="473" t="str">
        <f>IF(TBL_Q_06_Select_All[[#This Row],[Type]]="Question", IF(OR(TBL_Q_06_Select_All[[#This Row],[Shade?]]="Shade", TBL_Q_06_Select_All[[#This Row],[Question]]="Question not used
"), "", IF(TBL_Q_06_Select_All[[#This Row],[Response]]&lt;&gt;"", "Done", "Add")), "")</f>
        <v/>
      </c>
      <c r="E38" s="491" t="s">
        <v>348</v>
      </c>
      <c r="F38" s="487" t="s">
        <v>224</v>
      </c>
      <c r="G38" s="500" t="s">
        <v>24</v>
      </c>
      <c r="H38" s="486" t="str" cm="1">
        <f t="array" ref="H3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38" s="546"/>
      <c r="O38" s="12"/>
      <c r="P38" s="12"/>
      <c r="Q38" s="12"/>
      <c r="R38" s="12"/>
      <c r="S38" s="12"/>
      <c r="T38" s="12"/>
      <c r="U38" s="12"/>
      <c r="V38" s="12"/>
      <c r="W38" s="12"/>
      <c r="X38" s="12"/>
      <c r="Y38" s="12"/>
      <c r="Z38" s="12"/>
      <c r="AA38" s="12"/>
      <c r="AB38" s="12"/>
      <c r="AC38" s="12"/>
    </row>
    <row r="39" spans="1:29" s="19" customFormat="1" ht="25">
      <c r="A39" s="120" t="s">
        <v>1528</v>
      </c>
      <c r="B39" s="69" t="str">
        <f t="array" ref="B3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39" s="493"/>
      <c r="D39" s="483" t="str">
        <f>IF(TBL_Q_06_Select_All[[#This Row],[Type]]="Question", IF(OR(TBL_Q_06_Select_All[[#This Row],[Shade?]]="Shade", TBL_Q_06_Select_All[[#This Row],[Question]]="Question not used
"), "", IF(TBL_Q_06_Select_All[[#This Row],[Response]]&lt;&gt;"", "Done", "Add")), "")</f>
        <v/>
      </c>
      <c r="E39" s="496" t="s">
        <v>332</v>
      </c>
      <c r="F39" s="474" t="s">
        <v>224</v>
      </c>
      <c r="G39" s="500" t="s">
        <v>568</v>
      </c>
      <c r="H39" s="486" t="str" cm="1">
        <f t="array" ref="H3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39" s="546"/>
      <c r="O39" s="12"/>
      <c r="P39" s="12"/>
      <c r="Q39" s="12"/>
      <c r="R39" s="12"/>
      <c r="S39" s="12"/>
      <c r="T39" s="12"/>
      <c r="U39" s="12"/>
      <c r="V39" s="12"/>
      <c r="W39" s="12"/>
      <c r="X39" s="12"/>
      <c r="Y39" s="12"/>
      <c r="Z39" s="12"/>
      <c r="AA39" s="12"/>
      <c r="AB39" s="12"/>
      <c r="AC39" s="12"/>
    </row>
    <row r="40" spans="1:29" s="19" customFormat="1" ht="25">
      <c r="A40" s="120" t="s">
        <v>1529</v>
      </c>
      <c r="B40" s="69" t="str">
        <f t="array" ref="B4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0" s="493"/>
      <c r="D40" s="473" t="str">
        <f>IF(TBL_Q_06_Select_All[[#This Row],[Type]]="Question", IF(OR(TBL_Q_06_Select_All[[#This Row],[Shade?]]="Shade", TBL_Q_06_Select_All[[#This Row],[Question]]="Question not used
"), "", IF(TBL_Q_06_Select_All[[#This Row],[Response]]&lt;&gt;"", "Done", "Add")), "")</f>
        <v/>
      </c>
      <c r="E40" s="491" t="s">
        <v>332</v>
      </c>
      <c r="F40" s="487" t="s">
        <v>224</v>
      </c>
      <c r="G40" s="500" t="s">
        <v>572</v>
      </c>
      <c r="H40" s="486" t="str" cm="1">
        <f t="array" ref="H4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0" s="546"/>
      <c r="O40" s="12"/>
      <c r="P40" s="12"/>
      <c r="Q40" s="12"/>
      <c r="R40" s="12"/>
      <c r="S40" s="12"/>
      <c r="T40" s="12"/>
      <c r="U40" s="12"/>
      <c r="V40" s="12"/>
      <c r="W40" s="12"/>
      <c r="X40" s="12"/>
      <c r="Y40" s="12"/>
      <c r="Z40" s="12"/>
      <c r="AA40" s="12"/>
      <c r="AB40" s="12"/>
      <c r="AC40" s="12"/>
    </row>
    <row r="41" spans="1:29" s="19" customFormat="1" ht="25">
      <c r="A41" s="120" t="s">
        <v>1530</v>
      </c>
      <c r="B41" s="69" t="str">
        <f t="array" ref="B4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1" s="493"/>
      <c r="D41" s="473" t="str">
        <f>IF(TBL_Q_06_Select_All[[#This Row],[Type]]="Question", IF(OR(TBL_Q_06_Select_All[[#This Row],[Shade?]]="Shade", TBL_Q_06_Select_All[[#This Row],[Question]]="Question not used
"), "", IF(TBL_Q_06_Select_All[[#This Row],[Response]]&lt;&gt;"", "Done", "Add")), "")</f>
        <v/>
      </c>
      <c r="E41" s="491" t="s">
        <v>332</v>
      </c>
      <c r="F41" s="487" t="s">
        <v>224</v>
      </c>
      <c r="G41" s="500" t="s">
        <v>569</v>
      </c>
      <c r="H41" s="486" t="str" cm="1">
        <f t="array" ref="H4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1" s="546"/>
      <c r="O41" s="12"/>
      <c r="P41" s="12"/>
      <c r="Q41" s="12"/>
      <c r="R41" s="12"/>
      <c r="S41" s="12"/>
      <c r="T41" s="12"/>
      <c r="U41" s="12"/>
      <c r="V41" s="12"/>
      <c r="W41" s="12"/>
      <c r="X41" s="12"/>
      <c r="Y41" s="12"/>
      <c r="Z41" s="12"/>
      <c r="AA41" s="12"/>
      <c r="AB41" s="12"/>
      <c r="AC41" s="12"/>
    </row>
    <row r="42" spans="1:29" s="19" customFormat="1" ht="25">
      <c r="A42" s="120" t="s">
        <v>1531</v>
      </c>
      <c r="B42" s="69" t="str">
        <f t="array" ref="B4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2" s="493"/>
      <c r="D42" s="473" t="str">
        <f>IF(TBL_Q_06_Select_All[[#This Row],[Type]]="Question", IF(OR(TBL_Q_06_Select_All[[#This Row],[Shade?]]="Shade", TBL_Q_06_Select_All[[#This Row],[Question]]="Question not used
"), "", IF(TBL_Q_06_Select_All[[#This Row],[Response]]&lt;&gt;"", "Done", "Add")), "")</f>
        <v/>
      </c>
      <c r="E42" s="491" t="s">
        <v>332</v>
      </c>
      <c r="F42" s="487" t="s">
        <v>224</v>
      </c>
      <c r="G42" s="500" t="s">
        <v>570</v>
      </c>
      <c r="H42" s="486" t="str" cm="1">
        <f t="array" ref="H4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2" s="546"/>
      <c r="O42" s="12"/>
      <c r="P42" s="12"/>
      <c r="Q42" s="12"/>
      <c r="R42" s="12"/>
      <c r="S42" s="12"/>
      <c r="T42" s="12"/>
      <c r="U42" s="12"/>
      <c r="V42" s="12"/>
      <c r="W42" s="12"/>
      <c r="X42" s="12"/>
      <c r="Y42" s="12"/>
      <c r="Z42" s="12"/>
      <c r="AA42" s="12"/>
      <c r="AB42" s="12"/>
      <c r="AC42" s="12"/>
    </row>
    <row r="43" spans="1:29" s="19" customFormat="1" ht="25">
      <c r="A43" s="120" t="s">
        <v>1532</v>
      </c>
      <c r="B43" s="69" t="str">
        <f t="array" ref="B4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3" s="493"/>
      <c r="D43" s="473" t="str">
        <f>IF(TBL_Q_06_Select_All[[#This Row],[Type]]="Question", IF(OR(TBL_Q_06_Select_All[[#This Row],[Shade?]]="Shade", TBL_Q_06_Select_All[[#This Row],[Question]]="Question not used
"), "", IF(TBL_Q_06_Select_All[[#This Row],[Response]]&lt;&gt;"", "Done", "Add")), "")</f>
        <v/>
      </c>
      <c r="E43" s="491" t="s">
        <v>332</v>
      </c>
      <c r="F43" s="487" t="s">
        <v>224</v>
      </c>
      <c r="G43" s="500" t="s">
        <v>571</v>
      </c>
      <c r="H43" s="486" t="str" cm="1">
        <f t="array" ref="H4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3" s="546"/>
      <c r="O43" s="12"/>
      <c r="P43" s="12"/>
      <c r="Q43" s="12"/>
      <c r="R43" s="12"/>
      <c r="S43" s="12"/>
      <c r="T43" s="12"/>
      <c r="U43" s="12"/>
      <c r="V43" s="12"/>
      <c r="W43" s="12"/>
      <c r="X43" s="12"/>
      <c r="Y43" s="12"/>
      <c r="Z43" s="12"/>
      <c r="AA43" s="12"/>
      <c r="AB43" s="12"/>
      <c r="AC43" s="12"/>
    </row>
    <row r="44" spans="1:29" s="19" customFormat="1" ht="25">
      <c r="A44" s="120" t="s">
        <v>1533</v>
      </c>
      <c r="B44" s="69" t="str">
        <f t="array" ref="B4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4" s="493"/>
      <c r="D44" s="473" t="str">
        <f>IF(TBL_Q_06_Select_All[[#This Row],[Type]]="Question", IF(OR(TBL_Q_06_Select_All[[#This Row],[Shade?]]="Shade", TBL_Q_06_Select_All[[#This Row],[Question]]="Question not used
"), "", IF(TBL_Q_06_Select_All[[#This Row],[Response]]&lt;&gt;"", "Done", "Add")), "")</f>
        <v/>
      </c>
      <c r="E44" s="491" t="s">
        <v>332</v>
      </c>
      <c r="F44" s="487" t="s">
        <v>224</v>
      </c>
      <c r="G44" s="500" t="s">
        <v>573</v>
      </c>
      <c r="H44" s="486" t="str" cm="1">
        <f t="array" ref="H4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4" s="546"/>
      <c r="O44" s="12"/>
      <c r="P44" s="12"/>
      <c r="Q44" s="12"/>
      <c r="R44" s="12"/>
      <c r="S44" s="12"/>
      <c r="T44" s="12"/>
      <c r="U44" s="12"/>
      <c r="V44" s="12"/>
      <c r="W44" s="12"/>
      <c r="X44" s="12"/>
      <c r="Y44" s="12"/>
      <c r="Z44" s="12"/>
      <c r="AA44" s="12"/>
      <c r="AB44" s="12"/>
      <c r="AC44" s="12"/>
    </row>
    <row r="45" spans="1:29" s="19" customFormat="1" ht="25">
      <c r="A45" s="120" t="s">
        <v>1534</v>
      </c>
      <c r="B45" s="69" t="str">
        <f t="array" ref="B4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5" s="493"/>
      <c r="D45" s="473" t="str">
        <f>IF(TBL_Q_06_Select_All[[#This Row],[Type]]="Question", IF(OR(TBL_Q_06_Select_All[[#This Row],[Shade?]]="Shade", TBL_Q_06_Select_All[[#This Row],[Question]]="Question not used
"), "", IF(TBL_Q_06_Select_All[[#This Row],[Response]]&lt;&gt;"", "Done", "Add")), "")</f>
        <v/>
      </c>
      <c r="E45" s="491" t="s">
        <v>332</v>
      </c>
      <c r="F45" s="487" t="s">
        <v>224</v>
      </c>
      <c r="G45" s="500" t="s">
        <v>574</v>
      </c>
      <c r="H45" s="486" t="str" cm="1">
        <f t="array" ref="H4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5" s="546"/>
      <c r="O45" s="12"/>
      <c r="P45" s="12"/>
      <c r="Q45" s="12"/>
      <c r="R45" s="12"/>
      <c r="S45" s="12"/>
      <c r="T45" s="12"/>
      <c r="U45" s="12"/>
      <c r="V45" s="12"/>
      <c r="W45" s="12"/>
      <c r="X45" s="12"/>
      <c r="Y45" s="12"/>
      <c r="Z45" s="12"/>
      <c r="AA45" s="12"/>
      <c r="AB45" s="12"/>
      <c r="AC45" s="12"/>
    </row>
    <row r="46" spans="1:29" s="19" customFormat="1" ht="25">
      <c r="A46" s="120" t="s">
        <v>1535</v>
      </c>
      <c r="B46" s="69" t="str">
        <f t="array" ref="B4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6" s="493"/>
      <c r="D46" s="473" t="str">
        <f>IF(TBL_Q_06_Select_All[[#This Row],[Type]]="Question", IF(OR(TBL_Q_06_Select_All[[#This Row],[Shade?]]="Shade", TBL_Q_06_Select_All[[#This Row],[Question]]="Question not used
"), "", IF(TBL_Q_06_Select_All[[#This Row],[Response]]&lt;&gt;"", "Done", "Add")), "")</f>
        <v/>
      </c>
      <c r="E46" s="491" t="s">
        <v>332</v>
      </c>
      <c r="F46" s="487" t="s">
        <v>224</v>
      </c>
      <c r="G46" s="500" t="s">
        <v>575</v>
      </c>
      <c r="H46" s="486" t="str" cm="1">
        <f t="array" ref="H4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6" s="546"/>
      <c r="O46" s="12"/>
      <c r="P46" s="12"/>
      <c r="Q46" s="12"/>
      <c r="R46" s="12"/>
      <c r="S46" s="12"/>
      <c r="T46" s="12"/>
      <c r="U46" s="12"/>
      <c r="V46" s="12"/>
      <c r="W46" s="12"/>
      <c r="X46" s="12"/>
      <c r="Y46" s="12"/>
      <c r="Z46" s="12"/>
      <c r="AA46" s="12"/>
      <c r="AB46" s="12"/>
      <c r="AC46" s="12"/>
    </row>
    <row r="47" spans="1:29" s="19" customFormat="1" ht="25">
      <c r="A47" s="120" t="s">
        <v>1536</v>
      </c>
      <c r="B47" s="69" t="str">
        <f t="array" ref="B4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7" s="493"/>
      <c r="D47" s="473" t="str">
        <f>IF(TBL_Q_06_Select_All[[#This Row],[Type]]="Question", IF(OR(TBL_Q_06_Select_All[[#This Row],[Shade?]]="Shade", TBL_Q_06_Select_All[[#This Row],[Question]]="Question not used
"), "", IF(TBL_Q_06_Select_All[[#This Row],[Response]]&lt;&gt;"", "Done", "Add")), "")</f>
        <v/>
      </c>
      <c r="E47" s="491" t="s">
        <v>332</v>
      </c>
      <c r="F47" s="487" t="s">
        <v>224</v>
      </c>
      <c r="G47" s="500" t="s">
        <v>576</v>
      </c>
      <c r="H47" s="486" t="str" cm="1">
        <f t="array" ref="H4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7" s="546"/>
      <c r="O47" s="12"/>
      <c r="P47" s="12"/>
      <c r="Q47" s="12"/>
      <c r="R47" s="12"/>
      <c r="S47" s="12"/>
      <c r="T47" s="12"/>
      <c r="U47" s="12"/>
      <c r="V47" s="12"/>
      <c r="W47" s="12"/>
      <c r="X47" s="12"/>
      <c r="Y47" s="12"/>
      <c r="Z47" s="12"/>
      <c r="AA47" s="12"/>
      <c r="AB47" s="12"/>
      <c r="AC47" s="12"/>
    </row>
    <row r="48" spans="1:29" s="19" customFormat="1" ht="25">
      <c r="A48" s="120" t="s">
        <v>1537</v>
      </c>
      <c r="B48" s="69" t="str">
        <f t="array" ref="B4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48" s="493"/>
      <c r="D48" s="473" t="str">
        <f>IF(TBL_Q_06_Select_All[[#This Row],[Type]]="Question", IF(OR(TBL_Q_06_Select_All[[#This Row],[Shade?]]="Shade", TBL_Q_06_Select_All[[#This Row],[Question]]="Question not used
"), "", IF(TBL_Q_06_Select_All[[#This Row],[Response]]&lt;&gt;"", "Done", "Add")), "")</f>
        <v/>
      </c>
      <c r="E48" s="491" t="s">
        <v>332</v>
      </c>
      <c r="F48" s="487" t="s">
        <v>224</v>
      </c>
      <c r="G48" s="500" t="s">
        <v>577</v>
      </c>
      <c r="H48" s="486" t="str" cm="1">
        <f t="array" ref="H4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48" s="546"/>
      <c r="O48" s="12"/>
      <c r="P48" s="12"/>
      <c r="Q48" s="12"/>
      <c r="R48" s="12"/>
      <c r="S48" s="12"/>
      <c r="T48" s="12"/>
      <c r="U48" s="12"/>
      <c r="V48" s="12"/>
      <c r="W48" s="12"/>
      <c r="X48" s="12"/>
      <c r="Y48" s="12"/>
      <c r="Z48" s="12"/>
      <c r="AA48" s="12"/>
      <c r="AB48" s="12"/>
      <c r="AC48" s="12"/>
    </row>
    <row r="49" spans="1:29" s="19" customFormat="1" ht="26">
      <c r="A49" s="73" t="s">
        <v>225</v>
      </c>
      <c r="B49" s="71" t="str">
        <f t="array" ref="B4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
</v>
      </c>
      <c r="C49" s="494"/>
      <c r="D49" s="478" t="str">
        <f>IF(TBL_Q_06_Select_All[[#This Row],[Type]]="Question", IF(OR(TBL_Q_06_Select_All[[#This Row],[Shade?]]="Shade", TBL_Q_06_Select_All[[#This Row],[Question]]="Question not used
"), "", IF(TBL_Q_06_Select_All[[#This Row],[Response]]&lt;&gt;"", "Done", "Add")), "")</f>
        <v>Add</v>
      </c>
      <c r="E49" s="495" t="s">
        <v>146</v>
      </c>
      <c r="F49" s="489" t="s">
        <v>225</v>
      </c>
      <c r="G49" s="500" t="s">
        <v>24</v>
      </c>
      <c r="H49" s="486" t="str" cm="1">
        <f t="array" ref="H4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49" s="546"/>
      <c r="O49" s="12"/>
      <c r="P49" s="12"/>
      <c r="Q49" s="12"/>
      <c r="R49" s="12"/>
      <c r="S49" s="12"/>
      <c r="T49" s="12"/>
      <c r="U49" s="12"/>
      <c r="V49" s="12"/>
      <c r="W49" s="12"/>
      <c r="X49" s="12"/>
      <c r="Y49" s="12"/>
      <c r="Z49" s="12"/>
      <c r="AA49" s="12"/>
      <c r="AB49" s="12"/>
      <c r="AC49" s="12"/>
    </row>
    <row r="50" spans="1:29" s="19" customFormat="1" ht="52">
      <c r="A50" s="74" t="s">
        <v>225</v>
      </c>
      <c r="B50" s="69" t="str">
        <f t="array" ref="B5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The maximum score for Q6.3 is 5.00 marks (1 elements x 5.00 marks).  The response to Q6.3 should have a word count of not more than 500 words.
</v>
      </c>
      <c r="C50" s="493"/>
      <c r="D50" s="473" t="str">
        <f>IF(TBL_Q_06_Select_All[[#This Row],[Type]]="Question", IF(OR(TBL_Q_06_Select_All[[#This Row],[Shade?]]="Shade", TBL_Q_06_Select_All[[#This Row],[Question]]="Question not used
"), "", IF(TBL_Q_06_Select_All[[#This Row],[Response]]&lt;&gt;"", "Done", "Add")), "")</f>
        <v/>
      </c>
      <c r="E50" s="491" t="s">
        <v>348</v>
      </c>
      <c r="F50" s="487" t="s">
        <v>225</v>
      </c>
      <c r="G50" s="500" t="s">
        <v>24</v>
      </c>
      <c r="H50" s="486" t="str" cm="1">
        <f t="array" ref="H5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50" s="546"/>
      <c r="O50" s="12"/>
      <c r="P50" s="12"/>
      <c r="Q50" s="12"/>
      <c r="R50" s="12"/>
      <c r="S50" s="12"/>
      <c r="T50" s="12"/>
      <c r="U50" s="12"/>
      <c r="V50" s="12"/>
      <c r="W50" s="12"/>
      <c r="X50" s="12"/>
      <c r="Y50" s="12"/>
      <c r="Z50" s="12"/>
      <c r="AA50" s="12"/>
      <c r="AB50" s="12"/>
      <c r="AC50" s="12"/>
    </row>
    <row r="51" spans="1:29" s="19" customFormat="1" ht="25">
      <c r="A51" s="120" t="s">
        <v>1538</v>
      </c>
      <c r="B51" s="69" t="str">
        <f t="array" ref="B5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
</v>
      </c>
      <c r="C51" s="493"/>
      <c r="D51" s="483" t="str">
        <f>IF(TBL_Q_06_Select_All[[#This Row],[Type]]="Question", IF(OR(TBL_Q_06_Select_All[[#This Row],[Shade?]]="Shade", TBL_Q_06_Select_All[[#This Row],[Question]]="Question not used
"), "", IF(TBL_Q_06_Select_All[[#This Row],[Response]]&lt;&gt;"", "Done", "Add")), "")</f>
        <v/>
      </c>
      <c r="E51" s="496" t="s">
        <v>332</v>
      </c>
      <c r="F51" s="474" t="s">
        <v>225</v>
      </c>
      <c r="G51" s="500" t="s">
        <v>568</v>
      </c>
      <c r="H51" s="486" t="str" cm="1">
        <f t="array" ref="H5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
      </c>
      <c r="I51" s="546"/>
      <c r="O51" s="12"/>
      <c r="P51" s="12"/>
      <c r="Q51" s="12"/>
      <c r="R51" s="12"/>
      <c r="S51" s="12"/>
      <c r="T51" s="12"/>
      <c r="U51" s="12"/>
      <c r="V51" s="12"/>
      <c r="W51" s="12"/>
      <c r="X51" s="12"/>
      <c r="Y51" s="12"/>
      <c r="Z51" s="12"/>
      <c r="AA51" s="12"/>
      <c r="AB51" s="12"/>
      <c r="AC51" s="12"/>
    </row>
    <row r="52" spans="1:29" s="19" customFormat="1" ht="25">
      <c r="A52" s="120" t="s">
        <v>1539</v>
      </c>
      <c r="B52" s="69" t="str">
        <f t="array" ref="B5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2" s="493"/>
      <c r="D52" s="473" t="str">
        <f>IF(TBL_Q_06_Select_All[[#This Row],[Type]]="Question", IF(OR(TBL_Q_06_Select_All[[#This Row],[Shade?]]="Shade", TBL_Q_06_Select_All[[#This Row],[Question]]="Question not used
"), "", IF(TBL_Q_06_Select_All[[#This Row],[Response]]&lt;&gt;"", "Done", "Add")), "")</f>
        <v/>
      </c>
      <c r="E52" s="491" t="s">
        <v>332</v>
      </c>
      <c r="F52" s="487" t="s">
        <v>225</v>
      </c>
      <c r="G52" s="500" t="s">
        <v>572</v>
      </c>
      <c r="H52" s="486" t="str" cm="1">
        <f t="array" ref="H5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2" s="546"/>
      <c r="O52" s="12"/>
      <c r="P52" s="12"/>
      <c r="Q52" s="12"/>
      <c r="R52" s="12"/>
      <c r="S52" s="12"/>
      <c r="T52" s="12"/>
      <c r="U52" s="12"/>
      <c r="V52" s="12"/>
      <c r="W52" s="12"/>
      <c r="X52" s="12"/>
      <c r="Y52" s="12"/>
      <c r="Z52" s="12"/>
      <c r="AA52" s="12"/>
      <c r="AB52" s="12"/>
      <c r="AC52" s="12"/>
    </row>
    <row r="53" spans="1:29" s="19" customFormat="1" ht="25">
      <c r="A53" s="120" t="s">
        <v>1540</v>
      </c>
      <c r="B53" s="69" t="str">
        <f t="array" ref="B5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3" s="493"/>
      <c r="D53" s="473" t="str">
        <f>IF(TBL_Q_06_Select_All[[#This Row],[Type]]="Question", IF(OR(TBL_Q_06_Select_All[[#This Row],[Shade?]]="Shade", TBL_Q_06_Select_All[[#This Row],[Question]]="Question not used
"), "", IF(TBL_Q_06_Select_All[[#This Row],[Response]]&lt;&gt;"", "Done", "Add")), "")</f>
        <v/>
      </c>
      <c r="E53" s="491" t="s">
        <v>332</v>
      </c>
      <c r="F53" s="487" t="s">
        <v>225</v>
      </c>
      <c r="G53" s="500" t="s">
        <v>569</v>
      </c>
      <c r="H53" s="486" t="str" cm="1">
        <f t="array" ref="H5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3" s="546"/>
      <c r="O53" s="12"/>
      <c r="P53" s="12"/>
      <c r="Q53" s="12"/>
      <c r="R53" s="12"/>
      <c r="S53" s="12"/>
      <c r="T53" s="12"/>
      <c r="U53" s="12"/>
      <c r="V53" s="12"/>
      <c r="W53" s="12"/>
      <c r="X53" s="12"/>
      <c r="Y53" s="12"/>
      <c r="Z53" s="12"/>
      <c r="AA53" s="12"/>
      <c r="AB53" s="12"/>
      <c r="AC53" s="12"/>
    </row>
    <row r="54" spans="1:29" s="19" customFormat="1" ht="25">
      <c r="A54" s="120" t="s">
        <v>1541</v>
      </c>
      <c r="B54" s="69" t="str">
        <f t="array" ref="B5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4" s="493"/>
      <c r="D54" s="473" t="str">
        <f>IF(TBL_Q_06_Select_All[[#This Row],[Type]]="Question", IF(OR(TBL_Q_06_Select_All[[#This Row],[Shade?]]="Shade", TBL_Q_06_Select_All[[#This Row],[Question]]="Question not used
"), "", IF(TBL_Q_06_Select_All[[#This Row],[Response]]&lt;&gt;"", "Done", "Add")), "")</f>
        <v/>
      </c>
      <c r="E54" s="491" t="s">
        <v>332</v>
      </c>
      <c r="F54" s="487" t="s">
        <v>225</v>
      </c>
      <c r="G54" s="500" t="s">
        <v>570</v>
      </c>
      <c r="H54" s="486" t="str" cm="1">
        <f t="array" ref="H5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4" s="546"/>
      <c r="O54" s="12"/>
      <c r="P54" s="12"/>
      <c r="Q54" s="12"/>
      <c r="R54" s="12"/>
      <c r="S54" s="12"/>
      <c r="T54" s="12"/>
      <c r="U54" s="12"/>
      <c r="V54" s="12"/>
      <c r="W54" s="12"/>
      <c r="X54" s="12"/>
      <c r="Y54" s="12"/>
      <c r="Z54" s="12"/>
      <c r="AA54" s="12"/>
      <c r="AB54" s="12"/>
      <c r="AC54" s="12"/>
    </row>
    <row r="55" spans="1:29" s="19" customFormat="1" ht="25">
      <c r="A55" s="120" t="s">
        <v>1542</v>
      </c>
      <c r="B55" s="69" t="str">
        <f t="array" ref="B5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5" s="493"/>
      <c r="D55" s="473" t="str">
        <f>IF(TBL_Q_06_Select_All[[#This Row],[Type]]="Question", IF(OR(TBL_Q_06_Select_All[[#This Row],[Shade?]]="Shade", TBL_Q_06_Select_All[[#This Row],[Question]]="Question not used
"), "", IF(TBL_Q_06_Select_All[[#This Row],[Response]]&lt;&gt;"", "Done", "Add")), "")</f>
        <v/>
      </c>
      <c r="E55" s="491" t="s">
        <v>332</v>
      </c>
      <c r="F55" s="487" t="s">
        <v>225</v>
      </c>
      <c r="G55" s="500" t="s">
        <v>571</v>
      </c>
      <c r="H55" s="486" t="str" cm="1">
        <f t="array" ref="H5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5" s="546"/>
      <c r="O55" s="12"/>
      <c r="P55" s="12"/>
      <c r="Q55" s="12"/>
      <c r="R55" s="12"/>
      <c r="S55" s="12"/>
      <c r="T55" s="12"/>
      <c r="U55" s="12"/>
      <c r="V55" s="12"/>
      <c r="W55" s="12"/>
      <c r="X55" s="12"/>
      <c r="Y55" s="12"/>
      <c r="Z55" s="12"/>
      <c r="AA55" s="12"/>
      <c r="AB55" s="12"/>
      <c r="AC55" s="12"/>
    </row>
    <row r="56" spans="1:29" s="19" customFormat="1" ht="25">
      <c r="A56" s="120" t="s">
        <v>1543</v>
      </c>
      <c r="B56" s="69" t="str">
        <f t="array" ref="B5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6" s="493"/>
      <c r="D56" s="473" t="str">
        <f>IF(TBL_Q_06_Select_All[[#This Row],[Type]]="Question", IF(OR(TBL_Q_06_Select_All[[#This Row],[Shade?]]="Shade", TBL_Q_06_Select_All[[#This Row],[Question]]="Question not used
"), "", IF(TBL_Q_06_Select_All[[#This Row],[Response]]&lt;&gt;"", "Done", "Add")), "")</f>
        <v/>
      </c>
      <c r="E56" s="491" t="s">
        <v>332</v>
      </c>
      <c r="F56" s="487" t="s">
        <v>225</v>
      </c>
      <c r="G56" s="500" t="s">
        <v>573</v>
      </c>
      <c r="H56" s="486" t="str" cm="1">
        <f t="array" ref="H5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6" s="546"/>
      <c r="O56" s="12"/>
      <c r="P56" s="12"/>
      <c r="Q56" s="12"/>
      <c r="R56" s="12"/>
      <c r="S56" s="12"/>
      <c r="T56" s="12"/>
      <c r="U56" s="12"/>
      <c r="V56" s="12"/>
      <c r="W56" s="12"/>
      <c r="X56" s="12"/>
      <c r="Y56" s="12"/>
      <c r="Z56" s="12"/>
      <c r="AA56" s="12"/>
      <c r="AB56" s="12"/>
      <c r="AC56" s="12"/>
    </row>
    <row r="57" spans="1:29" s="19" customFormat="1" ht="25">
      <c r="A57" s="120" t="s">
        <v>1544</v>
      </c>
      <c r="B57" s="69" t="str">
        <f t="array" ref="B5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7" s="493"/>
      <c r="D57" s="473" t="str">
        <f>IF(TBL_Q_06_Select_All[[#This Row],[Type]]="Question", IF(OR(TBL_Q_06_Select_All[[#This Row],[Shade?]]="Shade", TBL_Q_06_Select_All[[#This Row],[Question]]="Question not used
"), "", IF(TBL_Q_06_Select_All[[#This Row],[Response]]&lt;&gt;"", "Done", "Add")), "")</f>
        <v/>
      </c>
      <c r="E57" s="491" t="s">
        <v>332</v>
      </c>
      <c r="F57" s="487" t="s">
        <v>225</v>
      </c>
      <c r="G57" s="500" t="s">
        <v>574</v>
      </c>
      <c r="H57" s="486" t="str" cm="1">
        <f t="array" ref="H5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7" s="546"/>
      <c r="O57" s="12"/>
      <c r="P57" s="12"/>
      <c r="Q57" s="12"/>
      <c r="R57" s="12"/>
      <c r="S57" s="12"/>
      <c r="T57" s="12"/>
      <c r="U57" s="12"/>
      <c r="V57" s="12"/>
      <c r="W57" s="12"/>
      <c r="X57" s="12"/>
      <c r="Y57" s="12"/>
      <c r="Z57" s="12"/>
      <c r="AA57" s="12"/>
      <c r="AB57" s="12"/>
      <c r="AC57" s="12"/>
    </row>
    <row r="58" spans="1:29" s="19" customFormat="1" ht="25">
      <c r="A58" s="120" t="s">
        <v>1545</v>
      </c>
      <c r="B58" s="69" t="str">
        <f t="array" ref="B5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8" s="493"/>
      <c r="D58" s="473" t="str">
        <f>IF(TBL_Q_06_Select_All[[#This Row],[Type]]="Question", IF(OR(TBL_Q_06_Select_All[[#This Row],[Shade?]]="Shade", TBL_Q_06_Select_All[[#This Row],[Question]]="Question not used
"), "", IF(TBL_Q_06_Select_All[[#This Row],[Response]]&lt;&gt;"", "Done", "Add")), "")</f>
        <v/>
      </c>
      <c r="E58" s="491" t="s">
        <v>332</v>
      </c>
      <c r="F58" s="487" t="s">
        <v>225</v>
      </c>
      <c r="G58" s="500" t="s">
        <v>575</v>
      </c>
      <c r="H58" s="486" t="str" cm="1">
        <f t="array" ref="H5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8" s="546"/>
      <c r="O58" s="12"/>
      <c r="P58" s="12"/>
      <c r="Q58" s="12"/>
      <c r="R58" s="12"/>
      <c r="S58" s="12"/>
      <c r="T58" s="12"/>
      <c r="U58" s="12"/>
      <c r="V58" s="12"/>
      <c r="W58" s="12"/>
      <c r="X58" s="12"/>
      <c r="Y58" s="12"/>
      <c r="Z58" s="12"/>
      <c r="AA58" s="12"/>
      <c r="AB58" s="12"/>
      <c r="AC58" s="12"/>
    </row>
    <row r="59" spans="1:29" s="19" customFormat="1" ht="25">
      <c r="A59" s="120" t="s">
        <v>1546</v>
      </c>
      <c r="B59" s="69" t="str">
        <f t="array" ref="B5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59" s="493"/>
      <c r="D59" s="473" t="str">
        <f>IF(TBL_Q_06_Select_All[[#This Row],[Type]]="Question", IF(OR(TBL_Q_06_Select_All[[#This Row],[Shade?]]="Shade", TBL_Q_06_Select_All[[#This Row],[Question]]="Question not used
"), "", IF(TBL_Q_06_Select_All[[#This Row],[Response]]&lt;&gt;"", "Done", "Add")), "")</f>
        <v/>
      </c>
      <c r="E59" s="491" t="s">
        <v>332</v>
      </c>
      <c r="F59" s="487" t="s">
        <v>225</v>
      </c>
      <c r="G59" s="500" t="s">
        <v>576</v>
      </c>
      <c r="H59" s="486" t="str" cm="1">
        <f t="array" ref="H5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59" s="546"/>
      <c r="O59" s="12"/>
      <c r="P59" s="12"/>
      <c r="Q59" s="12"/>
      <c r="R59" s="12"/>
      <c r="S59" s="12"/>
      <c r="T59" s="12"/>
      <c r="U59" s="12"/>
      <c r="V59" s="12"/>
      <c r="W59" s="12"/>
      <c r="X59" s="12"/>
      <c r="Y59" s="12"/>
      <c r="Z59" s="12"/>
      <c r="AA59" s="12"/>
      <c r="AB59" s="12"/>
      <c r="AC59" s="12"/>
    </row>
    <row r="60" spans="1:29" s="19" customFormat="1" ht="25">
      <c r="A60" s="120" t="s">
        <v>1547</v>
      </c>
      <c r="B60" s="69" t="str">
        <f t="array" ref="B6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0" s="493"/>
      <c r="D60" s="473" t="str">
        <f>IF(TBL_Q_06_Select_All[[#This Row],[Type]]="Question", IF(OR(TBL_Q_06_Select_All[[#This Row],[Shade?]]="Shade", TBL_Q_06_Select_All[[#This Row],[Question]]="Question not used
"), "", IF(TBL_Q_06_Select_All[[#This Row],[Response]]&lt;&gt;"", "Done", "Add")), "")</f>
        <v/>
      </c>
      <c r="E60" s="491" t="s">
        <v>332</v>
      </c>
      <c r="F60" s="487" t="s">
        <v>225</v>
      </c>
      <c r="G60" s="500" t="s">
        <v>577</v>
      </c>
      <c r="H60" s="486" t="str" cm="1">
        <f t="array" ref="H6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0" s="546"/>
      <c r="O60" s="12"/>
      <c r="P60" s="12"/>
      <c r="Q60" s="12"/>
      <c r="R60" s="12"/>
      <c r="S60" s="12"/>
      <c r="T60" s="12"/>
      <c r="U60" s="12"/>
      <c r="V60" s="12"/>
      <c r="W60" s="12"/>
      <c r="X60" s="12"/>
      <c r="Y60" s="12"/>
      <c r="Z60" s="12"/>
      <c r="AA60" s="12"/>
      <c r="AB60" s="12"/>
      <c r="AC60" s="12"/>
    </row>
    <row r="61" spans="1:29" s="19" customFormat="1" ht="26">
      <c r="A61" s="73" t="s">
        <v>153</v>
      </c>
      <c r="B61" s="73" t="str">
        <f t="array" ref="B6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1" s="473"/>
      <c r="D61" s="473" t="str">
        <f>IF(TBL_Q_06_Select_All[[#This Row],[Type]]="Question", IF(OR(TBL_Q_06_Select_All[[#This Row],[Shade?]]="Shade", TBL_Q_06_Select_All[[#This Row],[Question]]="Question not used
"), "", IF(TBL_Q_06_Select_All[[#This Row],[Response]]&lt;&gt;"", "Done", "Add")), "")</f>
        <v/>
      </c>
      <c r="E61" s="487" t="s">
        <v>146</v>
      </c>
      <c r="F61" s="487" t="s">
        <v>153</v>
      </c>
      <c r="G61" s="500" t="s">
        <v>24</v>
      </c>
      <c r="H61" s="486" t="str" cm="1">
        <f t="array" ref="H6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1" s="546"/>
      <c r="O61" s="12"/>
      <c r="P61" s="12"/>
      <c r="Q61" s="12"/>
      <c r="R61" s="12"/>
      <c r="S61" s="12"/>
      <c r="T61" s="12"/>
      <c r="U61" s="12"/>
      <c r="V61" s="12"/>
      <c r="W61" s="12"/>
      <c r="X61" s="12"/>
      <c r="Y61" s="12"/>
      <c r="Z61" s="12"/>
      <c r="AA61" s="12"/>
      <c r="AB61" s="12"/>
      <c r="AC61" s="12"/>
    </row>
    <row r="62" spans="1:29" s="19" customFormat="1" ht="26">
      <c r="A62" s="74" t="s">
        <v>153</v>
      </c>
      <c r="B62" s="69" t="str">
        <f t="array" ref="B6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2" s="497"/>
      <c r="D62" s="473" t="str">
        <f>IF(TBL_Q_06_Select_All[[#This Row],[Type]]="Question", IF(OR(TBL_Q_06_Select_All[[#This Row],[Shade?]]="Shade", TBL_Q_06_Select_All[[#This Row],[Question]]="Question not used
"), "", IF(TBL_Q_06_Select_All[[#This Row],[Response]]&lt;&gt;"", "Done", "Add")), "")</f>
        <v/>
      </c>
      <c r="E62" s="491" t="s">
        <v>348</v>
      </c>
      <c r="F62" s="487" t="s">
        <v>153</v>
      </c>
      <c r="G62" s="500" t="s">
        <v>24</v>
      </c>
      <c r="H62" s="486" t="str" cm="1">
        <f t="array" ref="H6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2" s="546"/>
      <c r="O62" s="12"/>
      <c r="P62" s="12"/>
      <c r="Q62" s="12"/>
      <c r="R62" s="12"/>
      <c r="S62" s="12"/>
      <c r="T62" s="12"/>
      <c r="U62" s="12"/>
      <c r="V62" s="12"/>
      <c r="W62" s="12"/>
      <c r="X62" s="12"/>
      <c r="Y62" s="12"/>
      <c r="Z62" s="12"/>
      <c r="AA62" s="12"/>
      <c r="AB62" s="12"/>
      <c r="AC62" s="12"/>
    </row>
    <row r="63" spans="1:29" s="19" customFormat="1" ht="25">
      <c r="A63" s="120" t="s">
        <v>154</v>
      </c>
      <c r="B63" s="69" t="str">
        <f t="array" ref="B6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3" s="493"/>
      <c r="D63" s="473" t="str">
        <f>IF(TBL_Q_06_Select_All[[#This Row],[Type]]="Question", IF(OR(TBL_Q_06_Select_All[[#This Row],[Shade?]]="Shade", TBL_Q_06_Select_All[[#This Row],[Question]]="Question not used
"), "", IF(TBL_Q_06_Select_All[[#This Row],[Response]]&lt;&gt;"", "Done", "Add")), "")</f>
        <v/>
      </c>
      <c r="E63" s="491" t="s">
        <v>332</v>
      </c>
      <c r="F63" s="487" t="s">
        <v>153</v>
      </c>
      <c r="G63" s="500" t="s">
        <v>568</v>
      </c>
      <c r="H63" s="486" t="str" cm="1">
        <f t="array" ref="H6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3" s="546"/>
      <c r="O63" s="12"/>
      <c r="P63" s="12"/>
      <c r="Q63" s="12"/>
      <c r="R63" s="12"/>
      <c r="S63" s="12"/>
      <c r="T63" s="12"/>
      <c r="U63" s="12"/>
      <c r="V63" s="12"/>
      <c r="W63" s="12"/>
      <c r="X63" s="12"/>
      <c r="Y63" s="12"/>
      <c r="Z63" s="12"/>
      <c r="AA63" s="12"/>
      <c r="AB63" s="12"/>
      <c r="AC63" s="12"/>
    </row>
    <row r="64" spans="1:29" s="19" customFormat="1" ht="25">
      <c r="A64" s="120" t="s">
        <v>155</v>
      </c>
      <c r="B64" s="69" t="str">
        <f t="array" ref="B6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4" s="493"/>
      <c r="D64" s="473" t="str">
        <f>IF(TBL_Q_06_Select_All[[#This Row],[Type]]="Question", IF(OR(TBL_Q_06_Select_All[[#This Row],[Shade?]]="Shade", TBL_Q_06_Select_All[[#This Row],[Question]]="Question not used
"), "", IF(TBL_Q_06_Select_All[[#This Row],[Response]]&lt;&gt;"", "Done", "Add")), "")</f>
        <v/>
      </c>
      <c r="E64" s="491" t="s">
        <v>332</v>
      </c>
      <c r="F64" s="487" t="s">
        <v>153</v>
      </c>
      <c r="G64" s="500" t="s">
        <v>572</v>
      </c>
      <c r="H64" s="486" t="str" cm="1">
        <f t="array" ref="H6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4" s="546"/>
      <c r="O64" s="12"/>
      <c r="P64" s="12"/>
      <c r="Q64" s="12"/>
      <c r="R64" s="12"/>
      <c r="S64" s="12"/>
      <c r="T64" s="12"/>
      <c r="U64" s="12"/>
      <c r="V64" s="12"/>
      <c r="W64" s="12"/>
      <c r="X64" s="12"/>
      <c r="Y64" s="12"/>
      <c r="Z64" s="12"/>
      <c r="AA64" s="12"/>
      <c r="AB64" s="12"/>
      <c r="AC64" s="12"/>
    </row>
    <row r="65" spans="1:29" s="19" customFormat="1" ht="25">
      <c r="A65" s="120" t="s">
        <v>156</v>
      </c>
      <c r="B65" s="69" t="str">
        <f t="array" ref="B6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5" s="493"/>
      <c r="D65" s="473" t="str">
        <f>IF(TBL_Q_06_Select_All[[#This Row],[Type]]="Question", IF(OR(TBL_Q_06_Select_All[[#This Row],[Shade?]]="Shade", TBL_Q_06_Select_All[[#This Row],[Question]]="Question not used
"), "", IF(TBL_Q_06_Select_All[[#This Row],[Response]]&lt;&gt;"", "Done", "Add")), "")</f>
        <v/>
      </c>
      <c r="E65" s="491" t="s">
        <v>332</v>
      </c>
      <c r="F65" s="487" t="s">
        <v>153</v>
      </c>
      <c r="G65" s="500" t="s">
        <v>569</v>
      </c>
      <c r="H65" s="486" t="str" cm="1">
        <f t="array" ref="H6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5" s="546"/>
      <c r="O65" s="12"/>
      <c r="P65" s="12"/>
      <c r="Q65" s="12"/>
      <c r="R65" s="12"/>
      <c r="S65" s="12"/>
      <c r="T65" s="12"/>
      <c r="U65" s="12"/>
      <c r="V65" s="12"/>
      <c r="W65" s="12"/>
      <c r="X65" s="12"/>
      <c r="Y65" s="12"/>
      <c r="Z65" s="12"/>
      <c r="AA65" s="12"/>
      <c r="AB65" s="12"/>
      <c r="AC65" s="12"/>
    </row>
    <row r="66" spans="1:29" s="19" customFormat="1" ht="25">
      <c r="A66" s="120" t="s">
        <v>157</v>
      </c>
      <c r="B66" s="69" t="str">
        <f t="array" ref="B6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6" s="493"/>
      <c r="D66" s="473" t="str">
        <f>IF(TBL_Q_06_Select_All[[#This Row],[Type]]="Question", IF(OR(TBL_Q_06_Select_All[[#This Row],[Shade?]]="Shade", TBL_Q_06_Select_All[[#This Row],[Question]]="Question not used
"), "", IF(TBL_Q_06_Select_All[[#This Row],[Response]]&lt;&gt;"", "Done", "Add")), "")</f>
        <v/>
      </c>
      <c r="E66" s="491" t="s">
        <v>332</v>
      </c>
      <c r="F66" s="487" t="s">
        <v>153</v>
      </c>
      <c r="G66" s="500" t="s">
        <v>570</v>
      </c>
      <c r="H66" s="486" t="str" cm="1">
        <f t="array" ref="H6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6" s="546"/>
      <c r="O66" s="12"/>
      <c r="P66" s="12"/>
      <c r="Q66" s="12"/>
      <c r="R66" s="12"/>
      <c r="S66" s="12"/>
      <c r="T66" s="12"/>
      <c r="U66" s="12"/>
      <c r="V66" s="12"/>
      <c r="W66" s="12"/>
      <c r="X66" s="12"/>
      <c r="Y66" s="12"/>
      <c r="Z66" s="12"/>
      <c r="AA66" s="12"/>
      <c r="AB66" s="12"/>
      <c r="AC66" s="12"/>
    </row>
    <row r="67" spans="1:29" s="19" customFormat="1" ht="25">
      <c r="A67" s="120" t="s">
        <v>158</v>
      </c>
      <c r="B67" s="69" t="str">
        <f t="array" ref="B6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7" s="493"/>
      <c r="D67" s="473" t="str">
        <f>IF(TBL_Q_06_Select_All[[#This Row],[Type]]="Question", IF(OR(TBL_Q_06_Select_All[[#This Row],[Shade?]]="Shade", TBL_Q_06_Select_All[[#This Row],[Question]]="Question not used
"), "", IF(TBL_Q_06_Select_All[[#This Row],[Response]]&lt;&gt;"", "Done", "Add")), "")</f>
        <v/>
      </c>
      <c r="E67" s="491" t="s">
        <v>332</v>
      </c>
      <c r="F67" s="487" t="s">
        <v>153</v>
      </c>
      <c r="G67" s="500" t="s">
        <v>571</v>
      </c>
      <c r="H67" s="486" t="str" cm="1">
        <f t="array" ref="H6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7" s="546"/>
      <c r="O67" s="12"/>
      <c r="P67" s="12"/>
      <c r="Q67" s="12"/>
      <c r="R67" s="12"/>
      <c r="S67" s="12"/>
      <c r="T67" s="12"/>
      <c r="U67" s="12"/>
      <c r="V67" s="12"/>
      <c r="W67" s="12"/>
      <c r="X67" s="12"/>
      <c r="Y67" s="12"/>
      <c r="Z67" s="12"/>
      <c r="AA67" s="12"/>
      <c r="AB67" s="12"/>
      <c r="AC67" s="12"/>
    </row>
    <row r="68" spans="1:29" s="19" customFormat="1" ht="25">
      <c r="A68" s="120" t="s">
        <v>159</v>
      </c>
      <c r="B68" s="69" t="str">
        <f t="array" ref="B6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8" s="493"/>
      <c r="D68" s="473" t="str">
        <f>IF(TBL_Q_06_Select_All[[#This Row],[Type]]="Question", IF(OR(TBL_Q_06_Select_All[[#This Row],[Shade?]]="Shade", TBL_Q_06_Select_All[[#This Row],[Question]]="Question not used
"), "", IF(TBL_Q_06_Select_All[[#This Row],[Response]]&lt;&gt;"", "Done", "Add")), "")</f>
        <v/>
      </c>
      <c r="E68" s="491" t="s">
        <v>332</v>
      </c>
      <c r="F68" s="487" t="s">
        <v>153</v>
      </c>
      <c r="G68" s="500" t="s">
        <v>573</v>
      </c>
      <c r="H68" s="486" t="str" cm="1">
        <f t="array" ref="H6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8" s="546"/>
      <c r="O68" s="12"/>
      <c r="P68" s="12"/>
      <c r="Q68" s="12"/>
      <c r="R68" s="12"/>
      <c r="S68" s="12"/>
      <c r="T68" s="12"/>
      <c r="U68" s="12"/>
      <c r="V68" s="12"/>
      <c r="W68" s="12"/>
      <c r="X68" s="12"/>
      <c r="Y68" s="12"/>
      <c r="Z68" s="12"/>
      <c r="AA68" s="12"/>
      <c r="AB68" s="12"/>
      <c r="AC68" s="12"/>
    </row>
    <row r="69" spans="1:29" s="19" customFormat="1" ht="25">
      <c r="A69" s="120" t="s">
        <v>160</v>
      </c>
      <c r="B69" s="69" t="str">
        <f t="array" ref="B6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69" s="493"/>
      <c r="D69" s="473" t="str">
        <f>IF(TBL_Q_06_Select_All[[#This Row],[Type]]="Question", IF(OR(TBL_Q_06_Select_All[[#This Row],[Shade?]]="Shade", TBL_Q_06_Select_All[[#This Row],[Question]]="Question not used
"), "", IF(TBL_Q_06_Select_All[[#This Row],[Response]]&lt;&gt;"", "Done", "Add")), "")</f>
        <v/>
      </c>
      <c r="E69" s="491" t="s">
        <v>332</v>
      </c>
      <c r="F69" s="487" t="s">
        <v>153</v>
      </c>
      <c r="G69" s="500" t="s">
        <v>574</v>
      </c>
      <c r="H69" s="486" t="str" cm="1">
        <f t="array" ref="H6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69" s="546"/>
      <c r="O69" s="12"/>
      <c r="P69" s="12"/>
      <c r="Q69" s="12"/>
      <c r="R69" s="12"/>
      <c r="S69" s="12"/>
      <c r="T69" s="12"/>
      <c r="U69" s="12"/>
      <c r="V69" s="12"/>
      <c r="W69" s="12"/>
      <c r="X69" s="12"/>
      <c r="Y69" s="12"/>
      <c r="Z69" s="12"/>
      <c r="AA69" s="12"/>
      <c r="AB69" s="12"/>
      <c r="AC69" s="12"/>
    </row>
    <row r="70" spans="1:29" s="19" customFormat="1" ht="25">
      <c r="A70" s="120" t="s">
        <v>161</v>
      </c>
      <c r="B70" s="69" t="str">
        <f t="array" ref="B7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0" s="493"/>
      <c r="D70" s="473" t="str">
        <f>IF(TBL_Q_06_Select_All[[#This Row],[Type]]="Question", IF(OR(TBL_Q_06_Select_All[[#This Row],[Shade?]]="Shade", TBL_Q_06_Select_All[[#This Row],[Question]]="Question not used
"), "", IF(TBL_Q_06_Select_All[[#This Row],[Response]]&lt;&gt;"", "Done", "Add")), "")</f>
        <v/>
      </c>
      <c r="E70" s="491" t="s">
        <v>332</v>
      </c>
      <c r="F70" s="487" t="s">
        <v>153</v>
      </c>
      <c r="G70" s="500" t="s">
        <v>575</v>
      </c>
      <c r="H70" s="486" t="str" cm="1">
        <f t="array" ref="H7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0" s="546"/>
      <c r="O70" s="12"/>
      <c r="P70" s="12"/>
      <c r="Q70" s="12"/>
      <c r="R70" s="12"/>
      <c r="S70" s="12"/>
      <c r="T70" s="12"/>
      <c r="U70" s="12"/>
      <c r="V70" s="12"/>
      <c r="W70" s="12"/>
      <c r="X70" s="12"/>
      <c r="Y70" s="12"/>
      <c r="Z70" s="12"/>
      <c r="AA70" s="12"/>
      <c r="AB70" s="12"/>
      <c r="AC70" s="12"/>
    </row>
    <row r="71" spans="1:29" s="19" customFormat="1" ht="25">
      <c r="A71" s="120" t="s">
        <v>162</v>
      </c>
      <c r="B71" s="69" t="str">
        <f t="array" ref="B7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1" s="493"/>
      <c r="D71" s="473" t="str">
        <f>IF(TBL_Q_06_Select_All[[#This Row],[Type]]="Question", IF(OR(TBL_Q_06_Select_All[[#This Row],[Shade?]]="Shade", TBL_Q_06_Select_All[[#This Row],[Question]]="Question not used
"), "", IF(TBL_Q_06_Select_All[[#This Row],[Response]]&lt;&gt;"", "Done", "Add")), "")</f>
        <v/>
      </c>
      <c r="E71" s="491" t="s">
        <v>332</v>
      </c>
      <c r="F71" s="487" t="s">
        <v>153</v>
      </c>
      <c r="G71" s="500" t="s">
        <v>576</v>
      </c>
      <c r="H71" s="486" t="str" cm="1">
        <f t="array" ref="H7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1" s="546"/>
      <c r="O71" s="12"/>
      <c r="P71" s="12"/>
      <c r="Q71" s="12"/>
      <c r="R71" s="12"/>
      <c r="S71" s="12"/>
      <c r="T71" s="12"/>
      <c r="U71" s="12"/>
      <c r="V71" s="12"/>
      <c r="W71" s="12"/>
      <c r="X71" s="12"/>
      <c r="Y71" s="12"/>
      <c r="Z71" s="12"/>
      <c r="AA71" s="12"/>
      <c r="AB71" s="12"/>
      <c r="AC71" s="12"/>
    </row>
    <row r="72" spans="1:29" s="19" customFormat="1" ht="25">
      <c r="A72" s="482" t="s">
        <v>163</v>
      </c>
      <c r="B72" s="498" t="str">
        <f t="array" ref="B7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2" s="499"/>
      <c r="D72" s="473" t="str">
        <f>IF(TBL_Q_06_Select_All[[#This Row],[Type]]="Question", IF(OR(TBL_Q_06_Select_All[[#This Row],[Shade?]]="Shade", TBL_Q_06_Select_All[[#This Row],[Question]]="Question not used
"), "", IF(TBL_Q_06_Select_All[[#This Row],[Response]]&lt;&gt;"", "Done", "Add")), "")</f>
        <v/>
      </c>
      <c r="E72" s="491" t="s">
        <v>332</v>
      </c>
      <c r="F72" s="487" t="s">
        <v>153</v>
      </c>
      <c r="G72" s="500" t="s">
        <v>577</v>
      </c>
      <c r="H72" s="486" t="str" cm="1">
        <f t="array" ref="H7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2" s="546"/>
      <c r="O72" s="12"/>
      <c r="P72" s="12"/>
      <c r="Q72" s="12"/>
      <c r="R72" s="12"/>
      <c r="S72" s="12"/>
      <c r="T72" s="12"/>
      <c r="U72" s="12"/>
      <c r="V72" s="12"/>
      <c r="W72" s="12"/>
      <c r="X72" s="12"/>
      <c r="Y72" s="12"/>
      <c r="Z72" s="12"/>
      <c r="AA72" s="12"/>
      <c r="AB72" s="12"/>
      <c r="AC72" s="12"/>
    </row>
    <row r="73" spans="1:29" s="19" customFormat="1" ht="26">
      <c r="A73" s="73" t="s">
        <v>164</v>
      </c>
      <c r="B73" s="68" t="str">
        <f t="array" ref="B7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3" s="473"/>
      <c r="D73" s="473" t="str">
        <f>IF(TBL_Q_06_Select_All[[#This Row],[Type]]="Question", IF(OR(TBL_Q_06_Select_All[[#This Row],[Shade?]]="Shade", TBL_Q_06_Select_All[[#This Row],[Question]]="Question not used
"), "", IF(TBL_Q_06_Select_All[[#This Row],[Response]]&lt;&gt;"", "Done", "Add")), "")</f>
        <v/>
      </c>
      <c r="E73" s="491" t="s">
        <v>146</v>
      </c>
      <c r="F73" s="487" t="s">
        <v>164</v>
      </c>
      <c r="G73" s="500" t="s">
        <v>24</v>
      </c>
      <c r="H73" s="486" t="str" cm="1">
        <f t="array" ref="H7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3" s="546"/>
      <c r="O73" s="12"/>
      <c r="P73" s="12"/>
      <c r="Q73" s="12"/>
      <c r="R73" s="12"/>
      <c r="S73" s="12"/>
      <c r="T73" s="12"/>
      <c r="U73" s="12"/>
      <c r="V73" s="12"/>
      <c r="W73" s="12"/>
      <c r="X73" s="12"/>
      <c r="Y73" s="12"/>
      <c r="Z73" s="12"/>
      <c r="AA73" s="12"/>
      <c r="AB73" s="12"/>
      <c r="AC73" s="12"/>
    </row>
    <row r="74" spans="1:29" s="19" customFormat="1" ht="26">
      <c r="A74" s="74" t="s">
        <v>164</v>
      </c>
      <c r="B74" s="69" t="str">
        <f t="array" ref="B7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4" s="497"/>
      <c r="D74" s="473" t="str">
        <f>IF(TBL_Q_06_Select_All[[#This Row],[Type]]="Question", IF(OR(TBL_Q_06_Select_All[[#This Row],[Shade?]]="Shade", TBL_Q_06_Select_All[[#This Row],[Question]]="Question not used
"), "", IF(TBL_Q_06_Select_All[[#This Row],[Response]]&lt;&gt;"", "Done", "Add")), "")</f>
        <v/>
      </c>
      <c r="E74" s="491" t="s">
        <v>348</v>
      </c>
      <c r="F74" s="487" t="s">
        <v>164</v>
      </c>
      <c r="G74" s="500" t="s">
        <v>24</v>
      </c>
      <c r="H74" s="486" t="str" cm="1">
        <f t="array" ref="H7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4" s="546"/>
      <c r="O74" s="12"/>
      <c r="P74" s="12"/>
      <c r="Q74" s="12"/>
      <c r="R74" s="12"/>
      <c r="S74" s="12"/>
      <c r="T74" s="12"/>
      <c r="U74" s="12"/>
      <c r="V74" s="12"/>
      <c r="W74" s="12"/>
      <c r="X74" s="12"/>
      <c r="Y74" s="12"/>
      <c r="Z74" s="12"/>
      <c r="AA74" s="12"/>
      <c r="AB74" s="12"/>
      <c r="AC74" s="12"/>
    </row>
    <row r="75" spans="1:29" s="19" customFormat="1" ht="25">
      <c r="A75" s="120" t="s">
        <v>165</v>
      </c>
      <c r="B75" s="69" t="str">
        <f t="array" ref="B7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5" s="493"/>
      <c r="D75" s="473" t="str">
        <f>IF(TBL_Q_06_Select_All[[#This Row],[Type]]="Question", IF(OR(TBL_Q_06_Select_All[[#This Row],[Shade?]]="Shade", TBL_Q_06_Select_All[[#This Row],[Question]]="Question not used
"), "", IF(TBL_Q_06_Select_All[[#This Row],[Response]]&lt;&gt;"", "Done", "Add")), "")</f>
        <v/>
      </c>
      <c r="E75" s="491" t="s">
        <v>332</v>
      </c>
      <c r="F75" s="487" t="s">
        <v>164</v>
      </c>
      <c r="G75" s="500" t="s">
        <v>568</v>
      </c>
      <c r="H75" s="486" t="str" cm="1">
        <f t="array" ref="H7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5" s="546"/>
      <c r="O75" s="12"/>
      <c r="P75" s="12"/>
      <c r="Q75" s="12"/>
      <c r="R75" s="12"/>
      <c r="S75" s="12"/>
      <c r="T75" s="12"/>
      <c r="U75" s="12"/>
      <c r="V75" s="12"/>
      <c r="W75" s="12"/>
      <c r="X75" s="12"/>
      <c r="Y75" s="12"/>
      <c r="Z75" s="12"/>
      <c r="AA75" s="12"/>
      <c r="AB75" s="12"/>
      <c r="AC75" s="12"/>
    </row>
    <row r="76" spans="1:29" s="19" customFormat="1" ht="25">
      <c r="A76" s="120" t="s">
        <v>166</v>
      </c>
      <c r="B76" s="69" t="str">
        <f t="array" ref="B7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6" s="493"/>
      <c r="D76" s="473" t="str">
        <f>IF(TBL_Q_06_Select_All[[#This Row],[Type]]="Question", IF(OR(TBL_Q_06_Select_All[[#This Row],[Shade?]]="Shade", TBL_Q_06_Select_All[[#This Row],[Question]]="Question not used
"), "", IF(TBL_Q_06_Select_All[[#This Row],[Response]]&lt;&gt;"", "Done", "Add")), "")</f>
        <v/>
      </c>
      <c r="E76" s="491" t="s">
        <v>332</v>
      </c>
      <c r="F76" s="487" t="s">
        <v>164</v>
      </c>
      <c r="G76" s="500" t="s">
        <v>572</v>
      </c>
      <c r="H76" s="486" t="str" cm="1">
        <f t="array" ref="H7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6" s="546"/>
      <c r="O76" s="12"/>
      <c r="P76" s="12"/>
      <c r="Q76" s="12"/>
      <c r="R76" s="12"/>
      <c r="S76" s="12"/>
      <c r="T76" s="12"/>
      <c r="U76" s="12"/>
      <c r="V76" s="12"/>
      <c r="W76" s="12"/>
      <c r="X76" s="12"/>
      <c r="Y76" s="12"/>
      <c r="Z76" s="12"/>
      <c r="AA76" s="12"/>
      <c r="AB76" s="12"/>
      <c r="AC76" s="12"/>
    </row>
    <row r="77" spans="1:29" s="19" customFormat="1" ht="25">
      <c r="A77" s="120" t="s">
        <v>167</v>
      </c>
      <c r="B77" s="69" t="str">
        <f t="array" ref="B7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7" s="493"/>
      <c r="D77" s="473" t="str">
        <f>IF(TBL_Q_06_Select_All[[#This Row],[Type]]="Question", IF(OR(TBL_Q_06_Select_All[[#This Row],[Shade?]]="Shade", TBL_Q_06_Select_All[[#This Row],[Question]]="Question not used
"), "", IF(TBL_Q_06_Select_All[[#This Row],[Response]]&lt;&gt;"", "Done", "Add")), "")</f>
        <v/>
      </c>
      <c r="E77" s="491" t="s">
        <v>332</v>
      </c>
      <c r="F77" s="487" t="s">
        <v>164</v>
      </c>
      <c r="G77" s="500" t="s">
        <v>569</v>
      </c>
      <c r="H77" s="486" t="str" cm="1">
        <f t="array" ref="H7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7" s="546"/>
      <c r="O77" s="12"/>
      <c r="P77" s="12"/>
      <c r="Q77" s="12"/>
      <c r="R77" s="12"/>
      <c r="S77" s="12"/>
      <c r="T77" s="12"/>
      <c r="U77" s="12"/>
      <c r="V77" s="12"/>
      <c r="W77" s="12"/>
      <c r="X77" s="12"/>
      <c r="Y77" s="12"/>
      <c r="Z77" s="12"/>
      <c r="AA77" s="12"/>
      <c r="AB77" s="12"/>
      <c r="AC77" s="12"/>
    </row>
    <row r="78" spans="1:29" s="19" customFormat="1" ht="25">
      <c r="A78" s="120" t="s">
        <v>168</v>
      </c>
      <c r="B78" s="69" t="str">
        <f t="array" ref="B7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8" s="493"/>
      <c r="D78" s="473" t="str">
        <f>IF(TBL_Q_06_Select_All[[#This Row],[Type]]="Question", IF(OR(TBL_Q_06_Select_All[[#This Row],[Shade?]]="Shade", TBL_Q_06_Select_All[[#This Row],[Question]]="Question not used
"), "", IF(TBL_Q_06_Select_All[[#This Row],[Response]]&lt;&gt;"", "Done", "Add")), "")</f>
        <v/>
      </c>
      <c r="E78" s="491" t="s">
        <v>332</v>
      </c>
      <c r="F78" s="487" t="s">
        <v>164</v>
      </c>
      <c r="G78" s="500" t="s">
        <v>570</v>
      </c>
      <c r="H78" s="486" t="str" cm="1">
        <f t="array" ref="H7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8" s="546"/>
      <c r="O78" s="12"/>
      <c r="P78" s="12"/>
      <c r="Q78" s="12"/>
      <c r="R78" s="12"/>
      <c r="S78" s="12"/>
      <c r="T78" s="12"/>
      <c r="U78" s="12"/>
      <c r="V78" s="12"/>
      <c r="W78" s="12"/>
      <c r="X78" s="12"/>
      <c r="Y78" s="12"/>
      <c r="Z78" s="12"/>
      <c r="AA78" s="12"/>
      <c r="AB78" s="12"/>
      <c r="AC78" s="12"/>
    </row>
    <row r="79" spans="1:29" s="19" customFormat="1" ht="25">
      <c r="A79" s="120" t="s">
        <v>169</v>
      </c>
      <c r="B79" s="69" t="str">
        <f t="array" ref="B7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79" s="493"/>
      <c r="D79" s="473" t="str">
        <f>IF(TBL_Q_06_Select_All[[#This Row],[Type]]="Question", IF(OR(TBL_Q_06_Select_All[[#This Row],[Shade?]]="Shade", TBL_Q_06_Select_All[[#This Row],[Question]]="Question not used
"), "", IF(TBL_Q_06_Select_All[[#This Row],[Response]]&lt;&gt;"", "Done", "Add")), "")</f>
        <v/>
      </c>
      <c r="E79" s="491" t="s">
        <v>332</v>
      </c>
      <c r="F79" s="487" t="s">
        <v>164</v>
      </c>
      <c r="G79" s="500" t="s">
        <v>571</v>
      </c>
      <c r="H79" s="486" t="str" cm="1">
        <f t="array" ref="H7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79" s="546"/>
      <c r="O79" s="12"/>
      <c r="P79" s="12"/>
      <c r="Q79" s="12"/>
      <c r="R79" s="12"/>
      <c r="S79" s="12"/>
      <c r="T79" s="12"/>
      <c r="U79" s="12"/>
      <c r="V79" s="12"/>
      <c r="W79" s="12"/>
      <c r="X79" s="12"/>
      <c r="Y79" s="12"/>
      <c r="Z79" s="12"/>
      <c r="AA79" s="12"/>
      <c r="AB79" s="12"/>
      <c r="AC79" s="12"/>
    </row>
    <row r="80" spans="1:29" s="19" customFormat="1" ht="25">
      <c r="A80" s="120" t="s">
        <v>170</v>
      </c>
      <c r="B80" s="69" t="str">
        <f t="array" ref="B8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0" s="493"/>
      <c r="D80" s="473" t="str">
        <f>IF(TBL_Q_06_Select_All[[#This Row],[Type]]="Question", IF(OR(TBL_Q_06_Select_All[[#This Row],[Shade?]]="Shade", TBL_Q_06_Select_All[[#This Row],[Question]]="Question not used
"), "", IF(TBL_Q_06_Select_All[[#This Row],[Response]]&lt;&gt;"", "Done", "Add")), "")</f>
        <v/>
      </c>
      <c r="E80" s="491" t="s">
        <v>332</v>
      </c>
      <c r="F80" s="487" t="s">
        <v>164</v>
      </c>
      <c r="G80" s="500" t="s">
        <v>573</v>
      </c>
      <c r="H80" s="486" t="str" cm="1">
        <f t="array" ref="H8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0" s="546"/>
      <c r="O80" s="12"/>
      <c r="P80" s="12"/>
      <c r="Q80" s="12"/>
      <c r="R80" s="12"/>
      <c r="S80" s="12"/>
      <c r="T80" s="12"/>
      <c r="U80" s="12"/>
      <c r="V80" s="12"/>
      <c r="W80" s="12"/>
      <c r="X80" s="12"/>
      <c r="Y80" s="12"/>
      <c r="Z80" s="12"/>
      <c r="AA80" s="12"/>
      <c r="AB80" s="12"/>
      <c r="AC80" s="12"/>
    </row>
    <row r="81" spans="1:29" s="19" customFormat="1" ht="25">
      <c r="A81" s="120" t="s">
        <v>171</v>
      </c>
      <c r="B81" s="69" t="str">
        <f t="array" ref="B8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1" s="493"/>
      <c r="D81" s="473" t="str">
        <f>IF(TBL_Q_06_Select_All[[#This Row],[Type]]="Question", IF(OR(TBL_Q_06_Select_All[[#This Row],[Shade?]]="Shade", TBL_Q_06_Select_All[[#This Row],[Question]]="Question not used
"), "", IF(TBL_Q_06_Select_All[[#This Row],[Response]]&lt;&gt;"", "Done", "Add")), "")</f>
        <v/>
      </c>
      <c r="E81" s="491" t="s">
        <v>332</v>
      </c>
      <c r="F81" s="487" t="s">
        <v>164</v>
      </c>
      <c r="G81" s="500" t="s">
        <v>574</v>
      </c>
      <c r="H81" s="486" t="str" cm="1">
        <f t="array" ref="H8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1" s="546"/>
      <c r="O81" s="12"/>
      <c r="P81" s="12"/>
      <c r="Q81" s="12"/>
      <c r="R81" s="12"/>
      <c r="S81" s="12"/>
      <c r="T81" s="12"/>
      <c r="U81" s="12"/>
      <c r="V81" s="12"/>
      <c r="W81" s="12"/>
      <c r="X81" s="12"/>
      <c r="Y81" s="12"/>
      <c r="Z81" s="12"/>
      <c r="AA81" s="12"/>
      <c r="AB81" s="12"/>
      <c r="AC81" s="12"/>
    </row>
    <row r="82" spans="1:29" s="19" customFormat="1" ht="25">
      <c r="A82" s="120" t="s">
        <v>172</v>
      </c>
      <c r="B82" s="69" t="str">
        <f t="array" ref="B8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2" s="493"/>
      <c r="D82" s="473" t="str">
        <f>IF(TBL_Q_06_Select_All[[#This Row],[Type]]="Question", IF(OR(TBL_Q_06_Select_All[[#This Row],[Shade?]]="Shade", TBL_Q_06_Select_All[[#This Row],[Question]]="Question not used
"), "", IF(TBL_Q_06_Select_All[[#This Row],[Response]]&lt;&gt;"", "Done", "Add")), "")</f>
        <v/>
      </c>
      <c r="E82" s="491" t="s">
        <v>332</v>
      </c>
      <c r="F82" s="487" t="s">
        <v>164</v>
      </c>
      <c r="G82" s="500" t="s">
        <v>575</v>
      </c>
      <c r="H82" s="486" t="str" cm="1">
        <f t="array" ref="H8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2" s="546"/>
      <c r="O82" s="12"/>
      <c r="P82" s="12"/>
      <c r="Q82" s="12"/>
      <c r="R82" s="12"/>
      <c r="S82" s="12"/>
      <c r="T82" s="12"/>
      <c r="U82" s="12"/>
      <c r="V82" s="12"/>
      <c r="W82" s="12"/>
      <c r="X82" s="12"/>
      <c r="Y82" s="12"/>
      <c r="Z82" s="12"/>
      <c r="AA82" s="12"/>
      <c r="AB82" s="12"/>
      <c r="AC82" s="12"/>
    </row>
    <row r="83" spans="1:29" s="19" customFormat="1" ht="25">
      <c r="A83" s="120" t="s">
        <v>173</v>
      </c>
      <c r="B83" s="69" t="str">
        <f t="array" ref="B8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3" s="493"/>
      <c r="D83" s="473" t="str">
        <f>IF(TBL_Q_06_Select_All[[#This Row],[Type]]="Question", IF(OR(TBL_Q_06_Select_All[[#This Row],[Shade?]]="Shade", TBL_Q_06_Select_All[[#This Row],[Question]]="Question not used
"), "", IF(TBL_Q_06_Select_All[[#This Row],[Response]]&lt;&gt;"", "Done", "Add")), "")</f>
        <v/>
      </c>
      <c r="E83" s="491" t="s">
        <v>332</v>
      </c>
      <c r="F83" s="487" t="s">
        <v>164</v>
      </c>
      <c r="G83" s="500" t="s">
        <v>576</v>
      </c>
      <c r="H83" s="486" t="str" cm="1">
        <f t="array" ref="H8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3" s="546"/>
      <c r="O83" s="12"/>
      <c r="P83" s="12"/>
      <c r="Q83" s="12"/>
      <c r="R83" s="12"/>
      <c r="S83" s="12"/>
      <c r="T83" s="12"/>
      <c r="U83" s="12"/>
      <c r="V83" s="12"/>
      <c r="W83" s="12"/>
      <c r="X83" s="12"/>
      <c r="Y83" s="12"/>
      <c r="Z83" s="12"/>
      <c r="AA83" s="12"/>
      <c r="AB83" s="12"/>
      <c r="AC83" s="12"/>
    </row>
    <row r="84" spans="1:29" s="19" customFormat="1" ht="25">
      <c r="A84" s="482" t="s">
        <v>174</v>
      </c>
      <c r="B84" s="498" t="str">
        <f t="array" ref="B8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4" s="499"/>
      <c r="D84" s="473" t="str">
        <f>IF(TBL_Q_06_Select_All[[#This Row],[Type]]="Question", IF(OR(TBL_Q_06_Select_All[[#This Row],[Shade?]]="Shade", TBL_Q_06_Select_All[[#This Row],[Question]]="Question not used
"), "", IF(TBL_Q_06_Select_All[[#This Row],[Response]]&lt;&gt;"", "Done", "Add")), "")</f>
        <v/>
      </c>
      <c r="E84" s="491" t="s">
        <v>332</v>
      </c>
      <c r="F84" s="487" t="s">
        <v>164</v>
      </c>
      <c r="G84" s="500" t="s">
        <v>577</v>
      </c>
      <c r="H84" s="486" t="str" cm="1">
        <f t="array" ref="H8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4" s="546"/>
      <c r="O84" s="12"/>
      <c r="P84" s="12"/>
      <c r="Q84" s="12"/>
      <c r="R84" s="12"/>
      <c r="S84" s="12"/>
      <c r="T84" s="12"/>
      <c r="U84" s="12"/>
      <c r="V84" s="12"/>
      <c r="W84" s="12"/>
      <c r="X84" s="12"/>
      <c r="Y84" s="12"/>
      <c r="Z84" s="12"/>
      <c r="AA84" s="12"/>
      <c r="AB84" s="12"/>
      <c r="AC84" s="12"/>
    </row>
    <row r="85" spans="1:29" s="19" customFormat="1" ht="26">
      <c r="A85" s="73" t="s">
        <v>175</v>
      </c>
      <c r="B85" s="68" t="str">
        <f t="array" ref="B8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5" s="473"/>
      <c r="D85" s="473" t="str">
        <f>IF(TBL_Q_06_Select_All[[#This Row],[Type]]="Question", IF(OR(TBL_Q_06_Select_All[[#This Row],[Shade?]]="Shade", TBL_Q_06_Select_All[[#This Row],[Question]]="Question not used
"), "", IF(TBL_Q_06_Select_All[[#This Row],[Response]]&lt;&gt;"", "Done", "Add")), "")</f>
        <v/>
      </c>
      <c r="E85" s="491" t="s">
        <v>146</v>
      </c>
      <c r="F85" s="487" t="s">
        <v>175</v>
      </c>
      <c r="G85" s="500" t="s">
        <v>24</v>
      </c>
      <c r="H85" s="486" t="str" cm="1">
        <f t="array" ref="H8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5" s="546"/>
      <c r="O85" s="12"/>
      <c r="P85" s="12"/>
      <c r="Q85" s="12"/>
      <c r="R85" s="12"/>
      <c r="S85" s="12"/>
      <c r="T85" s="12"/>
      <c r="U85" s="12"/>
      <c r="V85" s="12"/>
      <c r="W85" s="12"/>
      <c r="X85" s="12"/>
      <c r="Y85" s="12"/>
      <c r="Z85" s="12"/>
      <c r="AA85" s="12"/>
      <c r="AB85" s="12"/>
      <c r="AC85" s="12"/>
    </row>
    <row r="86" spans="1:29" s="19" customFormat="1" ht="26">
      <c r="A86" s="74" t="s">
        <v>175</v>
      </c>
      <c r="B86" s="69" t="str">
        <f t="array" ref="B8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6" s="497"/>
      <c r="D86" s="473" t="str">
        <f>IF(TBL_Q_06_Select_All[[#This Row],[Type]]="Question", IF(OR(TBL_Q_06_Select_All[[#This Row],[Shade?]]="Shade", TBL_Q_06_Select_All[[#This Row],[Question]]="Question not used
"), "", IF(TBL_Q_06_Select_All[[#This Row],[Response]]&lt;&gt;"", "Done", "Add")), "")</f>
        <v/>
      </c>
      <c r="E86" s="491" t="s">
        <v>348</v>
      </c>
      <c r="F86" s="487" t="s">
        <v>175</v>
      </c>
      <c r="G86" s="500" t="s">
        <v>24</v>
      </c>
      <c r="H86" s="486" t="str" cm="1">
        <f t="array" ref="H8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6" s="546"/>
      <c r="O86" s="12"/>
      <c r="P86" s="12"/>
      <c r="Q86" s="12"/>
      <c r="R86" s="12"/>
      <c r="S86" s="12"/>
      <c r="T86" s="12"/>
      <c r="U86" s="12"/>
      <c r="V86" s="12"/>
      <c r="W86" s="12"/>
      <c r="X86" s="12"/>
      <c r="Y86" s="12"/>
      <c r="Z86" s="12"/>
      <c r="AA86" s="12"/>
      <c r="AB86" s="12"/>
      <c r="AC86" s="12"/>
    </row>
    <row r="87" spans="1:29" s="19" customFormat="1" ht="25">
      <c r="A87" s="120" t="s">
        <v>176</v>
      </c>
      <c r="B87" s="69" t="str">
        <f t="array" ref="B8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7" s="493"/>
      <c r="D87" s="473" t="str">
        <f>IF(TBL_Q_06_Select_All[[#This Row],[Type]]="Question", IF(OR(TBL_Q_06_Select_All[[#This Row],[Shade?]]="Shade", TBL_Q_06_Select_All[[#This Row],[Question]]="Question not used
"), "", IF(TBL_Q_06_Select_All[[#This Row],[Response]]&lt;&gt;"", "Done", "Add")), "")</f>
        <v/>
      </c>
      <c r="E87" s="491" t="s">
        <v>332</v>
      </c>
      <c r="F87" s="487" t="s">
        <v>175</v>
      </c>
      <c r="G87" s="500" t="s">
        <v>568</v>
      </c>
      <c r="H87" s="486" t="str" cm="1">
        <f t="array" ref="H8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7" s="546"/>
      <c r="O87" s="12"/>
      <c r="P87" s="12"/>
      <c r="Q87" s="12"/>
      <c r="R87" s="12"/>
      <c r="S87" s="12"/>
      <c r="T87" s="12"/>
      <c r="U87" s="12"/>
      <c r="V87" s="12"/>
      <c r="W87" s="12"/>
      <c r="X87" s="12"/>
      <c r="Y87" s="12"/>
      <c r="Z87" s="12"/>
      <c r="AA87" s="12"/>
      <c r="AB87" s="12"/>
      <c r="AC87" s="12"/>
    </row>
    <row r="88" spans="1:29" s="19" customFormat="1" ht="25">
      <c r="A88" s="120" t="s">
        <v>177</v>
      </c>
      <c r="B88" s="69" t="str">
        <f t="array" ref="B8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8" s="493"/>
      <c r="D88" s="473" t="str">
        <f>IF(TBL_Q_06_Select_All[[#This Row],[Type]]="Question", IF(OR(TBL_Q_06_Select_All[[#This Row],[Shade?]]="Shade", TBL_Q_06_Select_All[[#This Row],[Question]]="Question not used
"), "", IF(TBL_Q_06_Select_All[[#This Row],[Response]]&lt;&gt;"", "Done", "Add")), "")</f>
        <v/>
      </c>
      <c r="E88" s="491" t="s">
        <v>332</v>
      </c>
      <c r="F88" s="487" t="s">
        <v>175</v>
      </c>
      <c r="G88" s="500" t="s">
        <v>572</v>
      </c>
      <c r="H88" s="486" t="str" cm="1">
        <f t="array" ref="H8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8" s="546"/>
      <c r="O88" s="12"/>
      <c r="P88" s="12"/>
      <c r="Q88" s="12"/>
      <c r="R88" s="12"/>
      <c r="S88" s="12"/>
      <c r="T88" s="12"/>
      <c r="U88" s="12"/>
      <c r="V88" s="12"/>
      <c r="W88" s="12"/>
      <c r="X88" s="12"/>
      <c r="Y88" s="12"/>
      <c r="Z88" s="12"/>
      <c r="AA88" s="12"/>
      <c r="AB88" s="12"/>
      <c r="AC88" s="12"/>
    </row>
    <row r="89" spans="1:29" s="19" customFormat="1" ht="25">
      <c r="A89" s="120" t="s">
        <v>178</v>
      </c>
      <c r="B89" s="69" t="str">
        <f t="array" ref="B8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89" s="493"/>
      <c r="D89" s="473" t="str">
        <f>IF(TBL_Q_06_Select_All[[#This Row],[Type]]="Question", IF(OR(TBL_Q_06_Select_All[[#This Row],[Shade?]]="Shade", TBL_Q_06_Select_All[[#This Row],[Question]]="Question not used
"), "", IF(TBL_Q_06_Select_All[[#This Row],[Response]]&lt;&gt;"", "Done", "Add")), "")</f>
        <v/>
      </c>
      <c r="E89" s="491" t="s">
        <v>332</v>
      </c>
      <c r="F89" s="487" t="s">
        <v>175</v>
      </c>
      <c r="G89" s="500" t="s">
        <v>569</v>
      </c>
      <c r="H89" s="486" t="str" cm="1">
        <f t="array" ref="H8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89" s="546"/>
      <c r="O89" s="12"/>
      <c r="P89" s="12"/>
      <c r="Q89" s="12"/>
      <c r="R89" s="12"/>
      <c r="S89" s="12"/>
      <c r="T89" s="12"/>
      <c r="U89" s="12"/>
      <c r="V89" s="12"/>
      <c r="W89" s="12"/>
      <c r="X89" s="12"/>
      <c r="Y89" s="12"/>
      <c r="Z89" s="12"/>
      <c r="AA89" s="12"/>
      <c r="AB89" s="12"/>
      <c r="AC89" s="12"/>
    </row>
    <row r="90" spans="1:29" s="19" customFormat="1" ht="25">
      <c r="A90" s="120" t="s">
        <v>206</v>
      </c>
      <c r="B90" s="69" t="str">
        <f t="array" ref="B9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0" s="493"/>
      <c r="D90" s="473" t="str">
        <f>IF(TBL_Q_06_Select_All[[#This Row],[Type]]="Question", IF(OR(TBL_Q_06_Select_All[[#This Row],[Shade?]]="Shade", TBL_Q_06_Select_All[[#This Row],[Question]]="Question not used
"), "", IF(TBL_Q_06_Select_All[[#This Row],[Response]]&lt;&gt;"", "Done", "Add")), "")</f>
        <v/>
      </c>
      <c r="E90" s="491" t="s">
        <v>332</v>
      </c>
      <c r="F90" s="487" t="s">
        <v>175</v>
      </c>
      <c r="G90" s="500" t="s">
        <v>570</v>
      </c>
      <c r="H90" s="486" t="str" cm="1">
        <f t="array" ref="H9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0" s="546"/>
      <c r="O90" s="12"/>
      <c r="P90" s="12"/>
      <c r="Q90" s="12"/>
      <c r="R90" s="12"/>
      <c r="S90" s="12"/>
      <c r="T90" s="12"/>
      <c r="U90" s="12"/>
      <c r="V90" s="12"/>
      <c r="W90" s="12"/>
      <c r="X90" s="12"/>
      <c r="Y90" s="12"/>
      <c r="Z90" s="12"/>
      <c r="AA90" s="12"/>
      <c r="AB90" s="12"/>
      <c r="AC90" s="12"/>
    </row>
    <row r="91" spans="1:29" s="19" customFormat="1" ht="25">
      <c r="A91" s="120" t="s">
        <v>207</v>
      </c>
      <c r="B91" s="69" t="str">
        <f t="array" ref="B9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1" s="493"/>
      <c r="D91" s="473" t="str">
        <f>IF(TBL_Q_06_Select_All[[#This Row],[Type]]="Question", IF(OR(TBL_Q_06_Select_All[[#This Row],[Shade?]]="Shade", TBL_Q_06_Select_All[[#This Row],[Question]]="Question not used
"), "", IF(TBL_Q_06_Select_All[[#This Row],[Response]]&lt;&gt;"", "Done", "Add")), "")</f>
        <v/>
      </c>
      <c r="E91" s="491" t="s">
        <v>332</v>
      </c>
      <c r="F91" s="487" t="s">
        <v>175</v>
      </c>
      <c r="G91" s="500" t="s">
        <v>571</v>
      </c>
      <c r="H91" s="486" t="str" cm="1">
        <f t="array" ref="H9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1" s="546"/>
      <c r="O91" s="12"/>
      <c r="P91" s="12"/>
      <c r="Q91" s="12"/>
      <c r="R91" s="12"/>
      <c r="S91" s="12"/>
      <c r="T91" s="12"/>
      <c r="U91" s="12"/>
      <c r="V91" s="12"/>
      <c r="W91" s="12"/>
      <c r="X91" s="12"/>
      <c r="Y91" s="12"/>
      <c r="Z91" s="12"/>
      <c r="AA91" s="12"/>
      <c r="AB91" s="12"/>
      <c r="AC91" s="12"/>
    </row>
    <row r="92" spans="1:29" s="19" customFormat="1" ht="25">
      <c r="A92" s="120" t="s">
        <v>179</v>
      </c>
      <c r="B92" s="69" t="str">
        <f t="array" ref="B9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2" s="493"/>
      <c r="D92" s="473" t="str">
        <f>IF(TBL_Q_06_Select_All[[#This Row],[Type]]="Question", IF(OR(TBL_Q_06_Select_All[[#This Row],[Shade?]]="Shade", TBL_Q_06_Select_All[[#This Row],[Question]]="Question not used
"), "", IF(TBL_Q_06_Select_All[[#This Row],[Response]]&lt;&gt;"", "Done", "Add")), "")</f>
        <v/>
      </c>
      <c r="E92" s="491" t="s">
        <v>332</v>
      </c>
      <c r="F92" s="487" t="s">
        <v>175</v>
      </c>
      <c r="G92" s="500" t="s">
        <v>573</v>
      </c>
      <c r="H92" s="486" t="str" cm="1">
        <f t="array" ref="H9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2" s="546"/>
      <c r="O92" s="12"/>
      <c r="P92" s="12"/>
      <c r="Q92" s="12"/>
      <c r="R92" s="12"/>
      <c r="S92" s="12"/>
      <c r="T92" s="12"/>
      <c r="U92" s="12"/>
      <c r="V92" s="12"/>
      <c r="W92" s="12"/>
      <c r="X92" s="12"/>
      <c r="Y92" s="12"/>
      <c r="Z92" s="12"/>
      <c r="AA92" s="12"/>
      <c r="AB92" s="12"/>
      <c r="AC92" s="12"/>
    </row>
    <row r="93" spans="1:29" s="19" customFormat="1" ht="25">
      <c r="A93" s="120" t="s">
        <v>180</v>
      </c>
      <c r="B93" s="69" t="str">
        <f t="array" ref="B9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3" s="493"/>
      <c r="D93" s="473" t="str">
        <f>IF(TBL_Q_06_Select_All[[#This Row],[Type]]="Question", IF(OR(TBL_Q_06_Select_All[[#This Row],[Shade?]]="Shade", TBL_Q_06_Select_All[[#This Row],[Question]]="Question not used
"), "", IF(TBL_Q_06_Select_All[[#This Row],[Response]]&lt;&gt;"", "Done", "Add")), "")</f>
        <v/>
      </c>
      <c r="E93" s="491" t="s">
        <v>332</v>
      </c>
      <c r="F93" s="487" t="s">
        <v>175</v>
      </c>
      <c r="G93" s="500" t="s">
        <v>574</v>
      </c>
      <c r="H93" s="486" t="str" cm="1">
        <f t="array" ref="H9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3" s="546"/>
      <c r="O93" s="12"/>
      <c r="P93" s="12"/>
      <c r="Q93" s="12"/>
      <c r="R93" s="12"/>
      <c r="S93" s="12"/>
      <c r="T93" s="12"/>
      <c r="U93" s="12"/>
      <c r="V93" s="12"/>
      <c r="W93" s="12"/>
      <c r="X93" s="12"/>
      <c r="Y93" s="12"/>
      <c r="Z93" s="12"/>
      <c r="AA93" s="12"/>
      <c r="AB93" s="12"/>
      <c r="AC93" s="12"/>
    </row>
    <row r="94" spans="1:29" s="19" customFormat="1" ht="25">
      <c r="A94" s="120" t="s">
        <v>181</v>
      </c>
      <c r="B94" s="69" t="str">
        <f t="array" ref="B9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4" s="493"/>
      <c r="D94" s="473" t="str">
        <f>IF(TBL_Q_06_Select_All[[#This Row],[Type]]="Question", IF(OR(TBL_Q_06_Select_All[[#This Row],[Shade?]]="Shade", TBL_Q_06_Select_All[[#This Row],[Question]]="Question not used
"), "", IF(TBL_Q_06_Select_All[[#This Row],[Response]]&lt;&gt;"", "Done", "Add")), "")</f>
        <v/>
      </c>
      <c r="E94" s="491" t="s">
        <v>332</v>
      </c>
      <c r="F94" s="487" t="s">
        <v>175</v>
      </c>
      <c r="G94" s="500" t="s">
        <v>575</v>
      </c>
      <c r="H94" s="486" t="str" cm="1">
        <f t="array" ref="H9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4" s="546"/>
      <c r="O94" s="12"/>
      <c r="P94" s="12"/>
      <c r="Q94" s="12"/>
      <c r="R94" s="12"/>
      <c r="S94" s="12"/>
      <c r="T94" s="12"/>
      <c r="U94" s="12"/>
      <c r="V94" s="12"/>
      <c r="W94" s="12"/>
      <c r="X94" s="12"/>
      <c r="Y94" s="12"/>
      <c r="Z94" s="12"/>
      <c r="AA94" s="12"/>
      <c r="AB94" s="12"/>
      <c r="AC94" s="12"/>
    </row>
    <row r="95" spans="1:29" s="19" customFormat="1" ht="25">
      <c r="A95" s="120" t="s">
        <v>182</v>
      </c>
      <c r="B95" s="69" t="str">
        <f t="array" ref="B9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5" s="493"/>
      <c r="D95" s="473" t="str">
        <f>IF(TBL_Q_06_Select_All[[#This Row],[Type]]="Question", IF(OR(TBL_Q_06_Select_All[[#This Row],[Shade?]]="Shade", TBL_Q_06_Select_All[[#This Row],[Question]]="Question not used
"), "", IF(TBL_Q_06_Select_All[[#This Row],[Response]]&lt;&gt;"", "Done", "Add")), "")</f>
        <v/>
      </c>
      <c r="E95" s="491" t="s">
        <v>332</v>
      </c>
      <c r="F95" s="487" t="s">
        <v>175</v>
      </c>
      <c r="G95" s="500" t="s">
        <v>576</v>
      </c>
      <c r="H95" s="486" t="str" cm="1">
        <f t="array" ref="H9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5" s="546"/>
      <c r="O95" s="12"/>
      <c r="P95" s="12"/>
      <c r="Q95" s="12"/>
      <c r="R95" s="12"/>
      <c r="S95" s="12"/>
      <c r="T95" s="12"/>
      <c r="U95" s="12"/>
      <c r="V95" s="12"/>
      <c r="W95" s="12"/>
      <c r="X95" s="12"/>
      <c r="Y95" s="12"/>
      <c r="Z95" s="12"/>
      <c r="AA95" s="12"/>
      <c r="AB95" s="12"/>
      <c r="AC95" s="12"/>
    </row>
    <row r="96" spans="1:29" s="19" customFormat="1" ht="25">
      <c r="A96" s="482" t="s">
        <v>183</v>
      </c>
      <c r="B96" s="498" t="str">
        <f t="array" ref="B9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6" s="499"/>
      <c r="D96" s="473" t="str">
        <f>IF(TBL_Q_06_Select_All[[#This Row],[Type]]="Question", IF(OR(TBL_Q_06_Select_All[[#This Row],[Shade?]]="Shade", TBL_Q_06_Select_All[[#This Row],[Question]]="Question not used
"), "", IF(TBL_Q_06_Select_All[[#This Row],[Response]]&lt;&gt;"", "Done", "Add")), "")</f>
        <v/>
      </c>
      <c r="E96" s="491" t="s">
        <v>332</v>
      </c>
      <c r="F96" s="487" t="s">
        <v>175</v>
      </c>
      <c r="G96" s="500" t="s">
        <v>577</v>
      </c>
      <c r="H96" s="486" t="str" cm="1">
        <f t="array" ref="H9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6" s="546"/>
      <c r="O96" s="12"/>
      <c r="P96" s="12"/>
      <c r="Q96" s="12"/>
      <c r="R96" s="12"/>
      <c r="S96" s="12"/>
      <c r="T96" s="12"/>
      <c r="U96" s="12"/>
      <c r="V96" s="12"/>
      <c r="W96" s="12"/>
      <c r="X96" s="12"/>
      <c r="Y96" s="12"/>
      <c r="Z96" s="12"/>
      <c r="AA96" s="12"/>
      <c r="AB96" s="12"/>
      <c r="AC96" s="12"/>
    </row>
    <row r="97" spans="1:29" s="19" customFormat="1" ht="26">
      <c r="A97" s="73" t="s">
        <v>184</v>
      </c>
      <c r="B97" s="68" t="str">
        <f t="array" ref="B9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7" s="473"/>
      <c r="D97" s="473" t="str">
        <f>IF(TBL_Q_06_Select_All[[#This Row],[Type]]="Question", IF(OR(TBL_Q_06_Select_All[[#This Row],[Shade?]]="Shade", TBL_Q_06_Select_All[[#This Row],[Question]]="Question not used
"), "", IF(TBL_Q_06_Select_All[[#This Row],[Response]]&lt;&gt;"", "Done", "Add")), "")</f>
        <v/>
      </c>
      <c r="E97" s="491" t="s">
        <v>146</v>
      </c>
      <c r="F97" s="487" t="s">
        <v>184</v>
      </c>
      <c r="G97" s="500" t="s">
        <v>24</v>
      </c>
      <c r="H97" s="486" t="str" cm="1">
        <f t="array" ref="H9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7" s="546"/>
      <c r="O97" s="12"/>
      <c r="P97" s="12"/>
      <c r="Q97" s="12"/>
      <c r="R97" s="12"/>
      <c r="S97" s="12"/>
      <c r="T97" s="12"/>
      <c r="U97" s="12"/>
      <c r="V97" s="12"/>
      <c r="W97" s="12"/>
      <c r="X97" s="12"/>
      <c r="Y97" s="12"/>
      <c r="Z97" s="12"/>
      <c r="AA97" s="12"/>
      <c r="AB97" s="12"/>
      <c r="AC97" s="12"/>
    </row>
    <row r="98" spans="1:29" s="19" customFormat="1" ht="26">
      <c r="A98" s="74" t="s">
        <v>184</v>
      </c>
      <c r="B98" s="69" t="str">
        <f t="array" ref="B9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8" s="497"/>
      <c r="D98" s="473" t="str">
        <f>IF(TBL_Q_06_Select_All[[#This Row],[Type]]="Question", IF(OR(TBL_Q_06_Select_All[[#This Row],[Shade?]]="Shade", TBL_Q_06_Select_All[[#This Row],[Question]]="Question not used
"), "", IF(TBL_Q_06_Select_All[[#This Row],[Response]]&lt;&gt;"", "Done", "Add")), "")</f>
        <v/>
      </c>
      <c r="E98" s="491" t="s">
        <v>348</v>
      </c>
      <c r="F98" s="487" t="s">
        <v>184</v>
      </c>
      <c r="G98" s="500" t="s">
        <v>24</v>
      </c>
      <c r="H98" s="486" t="str" cm="1">
        <f t="array" ref="H9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8" s="546"/>
      <c r="O98" s="12"/>
      <c r="P98" s="12"/>
      <c r="Q98" s="12"/>
      <c r="R98" s="12"/>
      <c r="S98" s="12"/>
      <c r="T98" s="12"/>
      <c r="U98" s="12"/>
      <c r="V98" s="12"/>
      <c r="W98" s="12"/>
      <c r="X98" s="12"/>
      <c r="Y98" s="12"/>
      <c r="Z98" s="12"/>
      <c r="AA98" s="12"/>
      <c r="AB98" s="12"/>
      <c r="AC98" s="12"/>
    </row>
    <row r="99" spans="1:29" s="19" customFormat="1" ht="25">
      <c r="A99" s="120" t="s">
        <v>185</v>
      </c>
      <c r="B99" s="69" t="str">
        <f t="array" ref="B9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99" s="493"/>
      <c r="D99" s="473" t="str">
        <f>IF(TBL_Q_06_Select_All[[#This Row],[Type]]="Question", IF(OR(TBL_Q_06_Select_All[[#This Row],[Shade?]]="Shade", TBL_Q_06_Select_All[[#This Row],[Question]]="Question not used
"), "", IF(TBL_Q_06_Select_All[[#This Row],[Response]]&lt;&gt;"", "Done", "Add")), "")</f>
        <v/>
      </c>
      <c r="E99" s="491" t="s">
        <v>332</v>
      </c>
      <c r="F99" s="487" t="s">
        <v>184</v>
      </c>
      <c r="G99" s="500" t="s">
        <v>568</v>
      </c>
      <c r="H99" s="486" t="str" cm="1">
        <f t="array" ref="H9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99" s="546"/>
      <c r="O99" s="12"/>
      <c r="P99" s="12"/>
      <c r="Q99" s="12"/>
      <c r="R99" s="12"/>
      <c r="S99" s="12"/>
      <c r="T99" s="12"/>
      <c r="U99" s="12"/>
      <c r="V99" s="12"/>
      <c r="W99" s="12"/>
      <c r="X99" s="12"/>
      <c r="Y99" s="12"/>
      <c r="Z99" s="12"/>
      <c r="AA99" s="12"/>
      <c r="AB99" s="12"/>
      <c r="AC99" s="12"/>
    </row>
    <row r="100" spans="1:29" s="19" customFormat="1" ht="25">
      <c r="A100" s="120" t="s">
        <v>186</v>
      </c>
      <c r="B100" s="69" t="str">
        <f t="array" ref="B10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0" s="493"/>
      <c r="D100" s="473" t="str">
        <f>IF(TBL_Q_06_Select_All[[#This Row],[Type]]="Question", IF(OR(TBL_Q_06_Select_All[[#This Row],[Shade?]]="Shade", TBL_Q_06_Select_All[[#This Row],[Question]]="Question not used
"), "", IF(TBL_Q_06_Select_All[[#This Row],[Response]]&lt;&gt;"", "Done", "Add")), "")</f>
        <v/>
      </c>
      <c r="E100" s="491" t="s">
        <v>332</v>
      </c>
      <c r="F100" s="487" t="s">
        <v>184</v>
      </c>
      <c r="G100" s="500" t="s">
        <v>572</v>
      </c>
      <c r="H100" s="486" t="str" cm="1">
        <f t="array" ref="H10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0" s="546"/>
      <c r="O100" s="12"/>
      <c r="P100" s="12"/>
      <c r="Q100" s="12"/>
      <c r="R100" s="12"/>
      <c r="S100" s="12"/>
      <c r="T100" s="12"/>
      <c r="U100" s="12"/>
      <c r="V100" s="12"/>
      <c r="W100" s="12"/>
      <c r="X100" s="12"/>
      <c r="Y100" s="12"/>
      <c r="Z100" s="12"/>
      <c r="AA100" s="12"/>
      <c r="AB100" s="12"/>
      <c r="AC100" s="12"/>
    </row>
    <row r="101" spans="1:29" s="19" customFormat="1" ht="25">
      <c r="A101" s="120" t="s">
        <v>187</v>
      </c>
      <c r="B101" s="69" t="str">
        <f t="array" ref="B10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1" s="493"/>
      <c r="D101" s="473" t="str">
        <f>IF(TBL_Q_06_Select_All[[#This Row],[Type]]="Question", IF(OR(TBL_Q_06_Select_All[[#This Row],[Shade?]]="Shade", TBL_Q_06_Select_All[[#This Row],[Question]]="Question not used
"), "", IF(TBL_Q_06_Select_All[[#This Row],[Response]]&lt;&gt;"", "Done", "Add")), "")</f>
        <v/>
      </c>
      <c r="E101" s="491" t="s">
        <v>332</v>
      </c>
      <c r="F101" s="487" t="s">
        <v>184</v>
      </c>
      <c r="G101" s="500" t="s">
        <v>569</v>
      </c>
      <c r="H101" s="486" t="str" cm="1">
        <f t="array" ref="H10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1" s="546"/>
      <c r="O101" s="12"/>
      <c r="P101" s="12"/>
      <c r="Q101" s="12"/>
      <c r="R101" s="12"/>
      <c r="S101" s="12"/>
      <c r="T101" s="12"/>
      <c r="U101" s="12"/>
      <c r="V101" s="12"/>
      <c r="W101" s="12"/>
      <c r="X101" s="12"/>
      <c r="Y101" s="12"/>
      <c r="Z101" s="12"/>
      <c r="AA101" s="12"/>
      <c r="AB101" s="12"/>
      <c r="AC101" s="12"/>
    </row>
    <row r="102" spans="1:29" s="19" customFormat="1" ht="25">
      <c r="A102" s="120" t="s">
        <v>188</v>
      </c>
      <c r="B102" s="69" t="str">
        <f t="array" ref="B10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2" s="493"/>
      <c r="D102" s="473" t="str">
        <f>IF(TBL_Q_06_Select_All[[#This Row],[Type]]="Question", IF(OR(TBL_Q_06_Select_All[[#This Row],[Shade?]]="Shade", TBL_Q_06_Select_All[[#This Row],[Question]]="Question not used
"), "", IF(TBL_Q_06_Select_All[[#This Row],[Response]]&lt;&gt;"", "Done", "Add")), "")</f>
        <v/>
      </c>
      <c r="E102" s="491" t="s">
        <v>332</v>
      </c>
      <c r="F102" s="487" t="s">
        <v>184</v>
      </c>
      <c r="G102" s="500" t="s">
        <v>570</v>
      </c>
      <c r="H102" s="486" t="str" cm="1">
        <f t="array" ref="H10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2" s="546"/>
      <c r="O102" s="12"/>
      <c r="P102" s="12"/>
      <c r="Q102" s="12"/>
      <c r="R102" s="12"/>
      <c r="S102" s="12"/>
      <c r="T102" s="12"/>
      <c r="U102" s="12"/>
      <c r="V102" s="12"/>
      <c r="W102" s="12"/>
      <c r="X102" s="12"/>
      <c r="Y102" s="12"/>
      <c r="Z102" s="12"/>
      <c r="AA102" s="12"/>
      <c r="AB102" s="12"/>
      <c r="AC102" s="12"/>
    </row>
    <row r="103" spans="1:29" s="19" customFormat="1" ht="25">
      <c r="A103" s="120" t="s">
        <v>189</v>
      </c>
      <c r="B103" s="69" t="str">
        <f t="array" ref="B10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3" s="493"/>
      <c r="D103" s="473" t="str">
        <f>IF(TBL_Q_06_Select_All[[#This Row],[Type]]="Question", IF(OR(TBL_Q_06_Select_All[[#This Row],[Shade?]]="Shade", TBL_Q_06_Select_All[[#This Row],[Question]]="Question not used
"), "", IF(TBL_Q_06_Select_All[[#This Row],[Response]]&lt;&gt;"", "Done", "Add")), "")</f>
        <v/>
      </c>
      <c r="E103" s="491" t="s">
        <v>332</v>
      </c>
      <c r="F103" s="487" t="s">
        <v>184</v>
      </c>
      <c r="G103" s="500" t="s">
        <v>571</v>
      </c>
      <c r="H103" s="486" t="str" cm="1">
        <f t="array" ref="H10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3" s="546"/>
      <c r="O103" s="12"/>
      <c r="P103" s="12"/>
      <c r="Q103" s="12"/>
      <c r="R103" s="12"/>
      <c r="S103" s="12"/>
      <c r="T103" s="12"/>
      <c r="U103" s="12"/>
      <c r="V103" s="12"/>
      <c r="W103" s="12"/>
      <c r="X103" s="12"/>
      <c r="Y103" s="12"/>
      <c r="Z103" s="12"/>
      <c r="AA103" s="12"/>
      <c r="AB103" s="12"/>
      <c r="AC103" s="12"/>
    </row>
    <row r="104" spans="1:29" s="19" customFormat="1" ht="25">
      <c r="A104" s="120" t="s">
        <v>190</v>
      </c>
      <c r="B104" s="69" t="str">
        <f t="array" ref="B10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4" s="493"/>
      <c r="D104" s="473" t="str">
        <f>IF(TBL_Q_06_Select_All[[#This Row],[Type]]="Question", IF(OR(TBL_Q_06_Select_All[[#This Row],[Shade?]]="Shade", TBL_Q_06_Select_All[[#This Row],[Question]]="Question not used
"), "", IF(TBL_Q_06_Select_All[[#This Row],[Response]]&lt;&gt;"", "Done", "Add")), "")</f>
        <v/>
      </c>
      <c r="E104" s="491" t="s">
        <v>332</v>
      </c>
      <c r="F104" s="487" t="s">
        <v>184</v>
      </c>
      <c r="G104" s="500" t="s">
        <v>573</v>
      </c>
      <c r="H104" s="486" t="str" cm="1">
        <f t="array" ref="H10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4" s="546"/>
      <c r="O104" s="12"/>
      <c r="P104" s="12"/>
      <c r="Q104" s="12"/>
      <c r="R104" s="12"/>
      <c r="S104" s="12"/>
      <c r="T104" s="12"/>
      <c r="U104" s="12"/>
      <c r="V104" s="12"/>
      <c r="W104" s="12"/>
      <c r="X104" s="12"/>
      <c r="Y104" s="12"/>
      <c r="Z104" s="12"/>
      <c r="AA104" s="12"/>
      <c r="AB104" s="12"/>
      <c r="AC104" s="12"/>
    </row>
    <row r="105" spans="1:29" s="19" customFormat="1" ht="25">
      <c r="A105" s="120" t="s">
        <v>191</v>
      </c>
      <c r="B105" s="69" t="str">
        <f t="array" ref="B10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5" s="493"/>
      <c r="D105" s="473" t="str">
        <f>IF(TBL_Q_06_Select_All[[#This Row],[Type]]="Question", IF(OR(TBL_Q_06_Select_All[[#This Row],[Shade?]]="Shade", TBL_Q_06_Select_All[[#This Row],[Question]]="Question not used
"), "", IF(TBL_Q_06_Select_All[[#This Row],[Response]]&lt;&gt;"", "Done", "Add")), "")</f>
        <v/>
      </c>
      <c r="E105" s="491" t="s">
        <v>332</v>
      </c>
      <c r="F105" s="487" t="s">
        <v>184</v>
      </c>
      <c r="G105" s="500" t="s">
        <v>574</v>
      </c>
      <c r="H105" s="486" t="str" cm="1">
        <f t="array" ref="H10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5" s="546"/>
      <c r="O105" s="12"/>
      <c r="P105" s="12"/>
      <c r="Q105" s="12"/>
      <c r="R105" s="12"/>
      <c r="S105" s="12"/>
      <c r="T105" s="12"/>
      <c r="U105" s="12"/>
      <c r="V105" s="12"/>
      <c r="W105" s="12"/>
      <c r="X105" s="12"/>
      <c r="Y105" s="12"/>
      <c r="Z105" s="12"/>
      <c r="AA105" s="12"/>
      <c r="AB105" s="12"/>
      <c r="AC105" s="12"/>
    </row>
    <row r="106" spans="1:29" s="19" customFormat="1" ht="25">
      <c r="A106" s="120" t="s">
        <v>192</v>
      </c>
      <c r="B106" s="69" t="str">
        <f t="array" ref="B10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6" s="493"/>
      <c r="D106" s="473" t="str">
        <f>IF(TBL_Q_06_Select_All[[#This Row],[Type]]="Question", IF(OR(TBL_Q_06_Select_All[[#This Row],[Shade?]]="Shade", TBL_Q_06_Select_All[[#This Row],[Question]]="Question not used
"), "", IF(TBL_Q_06_Select_All[[#This Row],[Response]]&lt;&gt;"", "Done", "Add")), "")</f>
        <v/>
      </c>
      <c r="E106" s="491" t="s">
        <v>332</v>
      </c>
      <c r="F106" s="487" t="s">
        <v>184</v>
      </c>
      <c r="G106" s="500" t="s">
        <v>575</v>
      </c>
      <c r="H106" s="486" t="str" cm="1">
        <f t="array" ref="H10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6" s="546"/>
      <c r="O106" s="12"/>
      <c r="P106" s="12"/>
      <c r="Q106" s="12"/>
      <c r="R106" s="12"/>
      <c r="S106" s="12"/>
      <c r="T106" s="12"/>
      <c r="U106" s="12"/>
      <c r="V106" s="12"/>
      <c r="W106" s="12"/>
      <c r="X106" s="12"/>
      <c r="Y106" s="12"/>
      <c r="Z106" s="12"/>
      <c r="AA106" s="12"/>
      <c r="AB106" s="12"/>
      <c r="AC106" s="12"/>
    </row>
    <row r="107" spans="1:29" s="19" customFormat="1" ht="25">
      <c r="A107" s="120" t="s">
        <v>193</v>
      </c>
      <c r="B107" s="69" t="str">
        <f t="array" ref="B10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7" s="493"/>
      <c r="D107" s="473" t="str">
        <f>IF(TBL_Q_06_Select_All[[#This Row],[Type]]="Question", IF(OR(TBL_Q_06_Select_All[[#This Row],[Shade?]]="Shade", TBL_Q_06_Select_All[[#This Row],[Question]]="Question not used
"), "", IF(TBL_Q_06_Select_All[[#This Row],[Response]]&lt;&gt;"", "Done", "Add")), "")</f>
        <v/>
      </c>
      <c r="E107" s="491" t="s">
        <v>332</v>
      </c>
      <c r="F107" s="487" t="s">
        <v>184</v>
      </c>
      <c r="G107" s="500" t="s">
        <v>576</v>
      </c>
      <c r="H107" s="486" t="str" cm="1">
        <f t="array" ref="H10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7" s="546"/>
      <c r="O107" s="12"/>
      <c r="P107" s="12"/>
      <c r="Q107" s="12"/>
      <c r="R107" s="12"/>
      <c r="S107" s="12"/>
      <c r="T107" s="12"/>
      <c r="U107" s="12"/>
      <c r="V107" s="12"/>
      <c r="W107" s="12"/>
      <c r="X107" s="12"/>
      <c r="Y107" s="12"/>
      <c r="Z107" s="12"/>
      <c r="AA107" s="12"/>
      <c r="AB107" s="12"/>
      <c r="AC107" s="12"/>
    </row>
    <row r="108" spans="1:29" s="19" customFormat="1" ht="25">
      <c r="A108" s="482" t="s">
        <v>194</v>
      </c>
      <c r="B108" s="498" t="str">
        <f t="array" ref="B10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8" s="499"/>
      <c r="D108" s="473" t="str">
        <f>IF(TBL_Q_06_Select_All[[#This Row],[Type]]="Question", IF(OR(TBL_Q_06_Select_All[[#This Row],[Shade?]]="Shade", TBL_Q_06_Select_All[[#This Row],[Question]]="Question not used
"), "", IF(TBL_Q_06_Select_All[[#This Row],[Response]]&lt;&gt;"", "Done", "Add")), "")</f>
        <v/>
      </c>
      <c r="E108" s="491" t="s">
        <v>332</v>
      </c>
      <c r="F108" s="487" t="s">
        <v>184</v>
      </c>
      <c r="G108" s="500" t="s">
        <v>577</v>
      </c>
      <c r="H108" s="486" t="str" cm="1">
        <f t="array" ref="H10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8" s="546"/>
      <c r="O108" s="12"/>
      <c r="P108" s="12"/>
      <c r="Q108" s="12"/>
      <c r="R108" s="12"/>
      <c r="S108" s="12"/>
      <c r="T108" s="12"/>
      <c r="U108" s="12"/>
      <c r="V108" s="12"/>
      <c r="W108" s="12"/>
      <c r="X108" s="12"/>
      <c r="Y108" s="12"/>
      <c r="Z108" s="12"/>
      <c r="AA108" s="12"/>
      <c r="AB108" s="12"/>
      <c r="AC108" s="12"/>
    </row>
    <row r="109" spans="1:29" s="19" customFormat="1" ht="26">
      <c r="A109" s="73" t="s">
        <v>195</v>
      </c>
      <c r="B109" s="68" t="str">
        <f t="array" ref="B10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09" s="473"/>
      <c r="D109" s="473" t="str">
        <f>IF(TBL_Q_06_Select_All[[#This Row],[Type]]="Question", IF(OR(TBL_Q_06_Select_All[[#This Row],[Shade?]]="Shade", TBL_Q_06_Select_All[[#This Row],[Question]]="Question not used
"), "", IF(TBL_Q_06_Select_All[[#This Row],[Response]]&lt;&gt;"", "Done", "Add")), "")</f>
        <v/>
      </c>
      <c r="E109" s="491" t="s">
        <v>146</v>
      </c>
      <c r="F109" s="487" t="s">
        <v>195</v>
      </c>
      <c r="G109" s="500" t="s">
        <v>24</v>
      </c>
      <c r="H109" s="486" t="str" cm="1">
        <f t="array" ref="H10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09" s="546"/>
      <c r="O109" s="12"/>
      <c r="P109" s="12"/>
      <c r="Q109" s="12"/>
      <c r="R109" s="12"/>
      <c r="S109" s="12"/>
      <c r="T109" s="12"/>
      <c r="U109" s="12"/>
      <c r="V109" s="12"/>
      <c r="W109" s="12"/>
      <c r="X109" s="12"/>
      <c r="Y109" s="12"/>
      <c r="Z109" s="12"/>
      <c r="AA109" s="12"/>
      <c r="AB109" s="12"/>
      <c r="AC109" s="12"/>
    </row>
    <row r="110" spans="1:29" s="19" customFormat="1" ht="26">
      <c r="A110" s="74" t="s">
        <v>195</v>
      </c>
      <c r="B110" s="69" t="str">
        <f t="array" ref="B11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0" s="497"/>
      <c r="D110" s="473" t="str">
        <f>IF(TBL_Q_06_Select_All[[#This Row],[Type]]="Question", IF(OR(TBL_Q_06_Select_All[[#This Row],[Shade?]]="Shade", TBL_Q_06_Select_All[[#This Row],[Question]]="Question not used
"), "", IF(TBL_Q_06_Select_All[[#This Row],[Response]]&lt;&gt;"", "Done", "Add")), "")</f>
        <v/>
      </c>
      <c r="E110" s="491" t="s">
        <v>348</v>
      </c>
      <c r="F110" s="487" t="s">
        <v>195</v>
      </c>
      <c r="G110" s="500" t="s">
        <v>24</v>
      </c>
      <c r="H110" s="486" t="str" cm="1">
        <f t="array" ref="H11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0" s="546"/>
      <c r="O110" s="12"/>
      <c r="P110" s="12"/>
      <c r="Q110" s="12"/>
      <c r="R110" s="12"/>
      <c r="S110" s="12"/>
      <c r="T110" s="12"/>
      <c r="U110" s="12"/>
      <c r="V110" s="12"/>
      <c r="W110" s="12"/>
      <c r="X110" s="12"/>
      <c r="Y110" s="12"/>
      <c r="Z110" s="12"/>
      <c r="AA110" s="12"/>
      <c r="AB110" s="12"/>
      <c r="AC110" s="12"/>
    </row>
    <row r="111" spans="1:29" s="19" customFormat="1" ht="25">
      <c r="A111" s="120" t="s">
        <v>196</v>
      </c>
      <c r="B111" s="69" t="str">
        <f t="array" ref="B11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1" s="493"/>
      <c r="D111" s="473" t="str">
        <f>IF(TBL_Q_06_Select_All[[#This Row],[Type]]="Question", IF(OR(TBL_Q_06_Select_All[[#This Row],[Shade?]]="Shade", TBL_Q_06_Select_All[[#This Row],[Question]]="Question not used
"), "", IF(TBL_Q_06_Select_All[[#This Row],[Response]]&lt;&gt;"", "Done", "Add")), "")</f>
        <v/>
      </c>
      <c r="E111" s="491" t="s">
        <v>332</v>
      </c>
      <c r="F111" s="487" t="s">
        <v>195</v>
      </c>
      <c r="G111" s="500" t="s">
        <v>568</v>
      </c>
      <c r="H111" s="486" t="str" cm="1">
        <f t="array" ref="H11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1" s="546"/>
      <c r="O111" s="12"/>
      <c r="P111" s="12"/>
      <c r="Q111" s="12"/>
      <c r="R111" s="12"/>
      <c r="S111" s="12"/>
      <c r="T111" s="12"/>
      <c r="U111" s="12"/>
      <c r="V111" s="12"/>
      <c r="W111" s="12"/>
      <c r="X111" s="12"/>
      <c r="Y111" s="12"/>
      <c r="Z111" s="12"/>
      <c r="AA111" s="12"/>
      <c r="AB111" s="12"/>
      <c r="AC111" s="12"/>
    </row>
    <row r="112" spans="1:29" s="19" customFormat="1" ht="25">
      <c r="A112" s="120" t="s">
        <v>197</v>
      </c>
      <c r="B112" s="69" t="str">
        <f t="array" ref="B11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2" s="493"/>
      <c r="D112" s="473" t="str">
        <f>IF(TBL_Q_06_Select_All[[#This Row],[Type]]="Question", IF(OR(TBL_Q_06_Select_All[[#This Row],[Shade?]]="Shade", TBL_Q_06_Select_All[[#This Row],[Question]]="Question not used
"), "", IF(TBL_Q_06_Select_All[[#This Row],[Response]]&lt;&gt;"", "Done", "Add")), "")</f>
        <v/>
      </c>
      <c r="E112" s="491" t="s">
        <v>332</v>
      </c>
      <c r="F112" s="487" t="s">
        <v>195</v>
      </c>
      <c r="G112" s="500" t="s">
        <v>572</v>
      </c>
      <c r="H112" s="486" t="str" cm="1">
        <f t="array" ref="H11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2" s="546"/>
      <c r="O112" s="12"/>
      <c r="P112" s="12"/>
      <c r="Q112" s="12"/>
      <c r="R112" s="12"/>
      <c r="S112" s="12"/>
      <c r="T112" s="12"/>
      <c r="U112" s="12"/>
      <c r="V112" s="12"/>
      <c r="W112" s="12"/>
      <c r="X112" s="12"/>
      <c r="Y112" s="12"/>
      <c r="Z112" s="12"/>
      <c r="AA112" s="12"/>
      <c r="AB112" s="12"/>
      <c r="AC112" s="12"/>
    </row>
    <row r="113" spans="1:29" s="19" customFormat="1" ht="25">
      <c r="A113" s="120" t="s">
        <v>198</v>
      </c>
      <c r="B113" s="69" t="str">
        <f t="array" ref="B11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3" s="493"/>
      <c r="D113" s="473" t="str">
        <f>IF(TBL_Q_06_Select_All[[#This Row],[Type]]="Question", IF(OR(TBL_Q_06_Select_All[[#This Row],[Shade?]]="Shade", TBL_Q_06_Select_All[[#This Row],[Question]]="Question not used
"), "", IF(TBL_Q_06_Select_All[[#This Row],[Response]]&lt;&gt;"", "Done", "Add")), "")</f>
        <v/>
      </c>
      <c r="E113" s="491" t="s">
        <v>332</v>
      </c>
      <c r="F113" s="487" t="s">
        <v>195</v>
      </c>
      <c r="G113" s="500" t="s">
        <v>569</v>
      </c>
      <c r="H113" s="486" t="str" cm="1">
        <f t="array" ref="H11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3" s="546"/>
      <c r="O113" s="12"/>
      <c r="P113" s="12"/>
      <c r="Q113" s="12"/>
      <c r="R113" s="12"/>
      <c r="S113" s="12"/>
      <c r="T113" s="12"/>
      <c r="U113" s="12"/>
      <c r="V113" s="12"/>
      <c r="W113" s="12"/>
      <c r="X113" s="12"/>
      <c r="Y113" s="12"/>
      <c r="Z113" s="12"/>
      <c r="AA113" s="12"/>
      <c r="AB113" s="12"/>
      <c r="AC113" s="12"/>
    </row>
    <row r="114" spans="1:29" s="19" customFormat="1" ht="25">
      <c r="A114" s="120" t="s">
        <v>199</v>
      </c>
      <c r="B114" s="69" t="str">
        <f t="array" ref="B11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4" s="493"/>
      <c r="D114" s="473" t="str">
        <f>IF(TBL_Q_06_Select_All[[#This Row],[Type]]="Question", IF(OR(TBL_Q_06_Select_All[[#This Row],[Shade?]]="Shade", TBL_Q_06_Select_All[[#This Row],[Question]]="Question not used
"), "", IF(TBL_Q_06_Select_All[[#This Row],[Response]]&lt;&gt;"", "Done", "Add")), "")</f>
        <v/>
      </c>
      <c r="E114" s="491" t="s">
        <v>332</v>
      </c>
      <c r="F114" s="487" t="s">
        <v>195</v>
      </c>
      <c r="G114" s="500" t="s">
        <v>570</v>
      </c>
      <c r="H114" s="486" t="str" cm="1">
        <f t="array" ref="H11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4" s="546"/>
      <c r="O114" s="12"/>
      <c r="P114" s="12"/>
      <c r="Q114" s="12"/>
      <c r="R114" s="12"/>
      <c r="S114" s="12"/>
      <c r="T114" s="12"/>
      <c r="U114" s="12"/>
      <c r="V114" s="12"/>
      <c r="W114" s="12"/>
      <c r="X114" s="12"/>
      <c r="Y114" s="12"/>
      <c r="Z114" s="12"/>
      <c r="AA114" s="12"/>
      <c r="AB114" s="12"/>
      <c r="AC114" s="12"/>
    </row>
    <row r="115" spans="1:29" s="19" customFormat="1" ht="25">
      <c r="A115" s="120" t="s">
        <v>200</v>
      </c>
      <c r="B115" s="69" t="str">
        <f t="array" ref="B11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5" s="493"/>
      <c r="D115" s="473" t="str">
        <f>IF(TBL_Q_06_Select_All[[#This Row],[Type]]="Question", IF(OR(TBL_Q_06_Select_All[[#This Row],[Shade?]]="Shade", TBL_Q_06_Select_All[[#This Row],[Question]]="Question not used
"), "", IF(TBL_Q_06_Select_All[[#This Row],[Response]]&lt;&gt;"", "Done", "Add")), "")</f>
        <v/>
      </c>
      <c r="E115" s="491" t="s">
        <v>332</v>
      </c>
      <c r="F115" s="487" t="s">
        <v>195</v>
      </c>
      <c r="G115" s="500" t="s">
        <v>571</v>
      </c>
      <c r="H115" s="486" t="str" cm="1">
        <f t="array" ref="H11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5" s="546"/>
      <c r="O115" s="12"/>
      <c r="P115" s="12"/>
      <c r="Q115" s="12"/>
      <c r="R115" s="12"/>
      <c r="S115" s="12"/>
      <c r="T115" s="12"/>
      <c r="U115" s="12"/>
      <c r="V115" s="12"/>
      <c r="W115" s="12"/>
      <c r="X115" s="12"/>
      <c r="Y115" s="12"/>
      <c r="Z115" s="12"/>
      <c r="AA115" s="12"/>
      <c r="AB115" s="12"/>
      <c r="AC115" s="12"/>
    </row>
    <row r="116" spans="1:29" s="19" customFormat="1" ht="25">
      <c r="A116" s="120" t="s">
        <v>201</v>
      </c>
      <c r="B116" s="69" t="str">
        <f t="array" ref="B11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6" s="493"/>
      <c r="D116" s="473" t="str">
        <f>IF(TBL_Q_06_Select_All[[#This Row],[Type]]="Question", IF(OR(TBL_Q_06_Select_All[[#This Row],[Shade?]]="Shade", TBL_Q_06_Select_All[[#This Row],[Question]]="Question not used
"), "", IF(TBL_Q_06_Select_All[[#This Row],[Response]]&lt;&gt;"", "Done", "Add")), "")</f>
        <v/>
      </c>
      <c r="E116" s="491" t="s">
        <v>332</v>
      </c>
      <c r="F116" s="487" t="s">
        <v>195</v>
      </c>
      <c r="G116" s="500" t="s">
        <v>573</v>
      </c>
      <c r="H116" s="486" t="str" cm="1">
        <f t="array" ref="H11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6" s="546"/>
      <c r="O116" s="12"/>
      <c r="P116" s="12"/>
      <c r="Q116" s="12"/>
      <c r="R116" s="12"/>
      <c r="S116" s="12"/>
      <c r="T116" s="12"/>
      <c r="U116" s="12"/>
      <c r="V116" s="12"/>
      <c r="W116" s="12"/>
      <c r="X116" s="12"/>
      <c r="Y116" s="12"/>
      <c r="Z116" s="12"/>
      <c r="AA116" s="12"/>
      <c r="AB116" s="12"/>
      <c r="AC116" s="12"/>
    </row>
    <row r="117" spans="1:29" s="19" customFormat="1" ht="25">
      <c r="A117" s="120" t="s">
        <v>202</v>
      </c>
      <c r="B117" s="69" t="str">
        <f t="array" ref="B11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7" s="493"/>
      <c r="D117" s="473" t="str">
        <f>IF(TBL_Q_06_Select_All[[#This Row],[Type]]="Question", IF(OR(TBL_Q_06_Select_All[[#This Row],[Shade?]]="Shade", TBL_Q_06_Select_All[[#This Row],[Question]]="Question not used
"), "", IF(TBL_Q_06_Select_All[[#This Row],[Response]]&lt;&gt;"", "Done", "Add")), "")</f>
        <v/>
      </c>
      <c r="E117" s="491" t="s">
        <v>332</v>
      </c>
      <c r="F117" s="487" t="s">
        <v>195</v>
      </c>
      <c r="G117" s="500" t="s">
        <v>574</v>
      </c>
      <c r="H117" s="486" t="str" cm="1">
        <f t="array" ref="H11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7" s="546"/>
      <c r="O117" s="12"/>
      <c r="P117" s="12"/>
      <c r="Q117" s="12"/>
      <c r="R117" s="12"/>
      <c r="S117" s="12"/>
      <c r="T117" s="12"/>
      <c r="U117" s="12"/>
      <c r="V117" s="12"/>
      <c r="W117" s="12"/>
      <c r="X117" s="12"/>
      <c r="Y117" s="12"/>
      <c r="Z117" s="12"/>
      <c r="AA117" s="12"/>
      <c r="AB117" s="12"/>
      <c r="AC117" s="12"/>
    </row>
    <row r="118" spans="1:29" s="19" customFormat="1" ht="25">
      <c r="A118" s="120" t="s">
        <v>203</v>
      </c>
      <c r="B118" s="69" t="str">
        <f t="array" ref="B11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8" s="493"/>
      <c r="D118" s="473" t="str">
        <f>IF(TBL_Q_06_Select_All[[#This Row],[Type]]="Question", IF(OR(TBL_Q_06_Select_All[[#This Row],[Shade?]]="Shade", TBL_Q_06_Select_All[[#This Row],[Question]]="Question not used
"), "", IF(TBL_Q_06_Select_All[[#This Row],[Response]]&lt;&gt;"", "Done", "Add")), "")</f>
        <v/>
      </c>
      <c r="E118" s="491" t="s">
        <v>332</v>
      </c>
      <c r="F118" s="487" t="s">
        <v>195</v>
      </c>
      <c r="G118" s="500" t="s">
        <v>575</v>
      </c>
      <c r="H118" s="486" t="str" cm="1">
        <f t="array" ref="H11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8" s="546"/>
      <c r="O118" s="12"/>
      <c r="P118" s="12"/>
      <c r="Q118" s="12"/>
      <c r="R118" s="12"/>
      <c r="S118" s="12"/>
      <c r="T118" s="12"/>
      <c r="U118" s="12"/>
      <c r="V118" s="12"/>
      <c r="W118" s="12"/>
      <c r="X118" s="12"/>
      <c r="Y118" s="12"/>
      <c r="Z118" s="12"/>
      <c r="AA118" s="12"/>
      <c r="AB118" s="12"/>
      <c r="AC118" s="12"/>
    </row>
    <row r="119" spans="1:29" s="19" customFormat="1" ht="25">
      <c r="A119" s="120" t="s">
        <v>204</v>
      </c>
      <c r="B119" s="69" t="str">
        <f t="array" ref="B11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19" s="493"/>
      <c r="D119" s="473" t="str">
        <f>IF(TBL_Q_06_Select_All[[#This Row],[Type]]="Question", IF(OR(TBL_Q_06_Select_All[[#This Row],[Shade?]]="Shade", TBL_Q_06_Select_All[[#This Row],[Question]]="Question not used
"), "", IF(TBL_Q_06_Select_All[[#This Row],[Response]]&lt;&gt;"", "Done", "Add")), "")</f>
        <v/>
      </c>
      <c r="E119" s="491" t="s">
        <v>332</v>
      </c>
      <c r="F119" s="487" t="s">
        <v>195</v>
      </c>
      <c r="G119" s="500" t="s">
        <v>576</v>
      </c>
      <c r="H119" s="486" t="str" cm="1">
        <f t="array" ref="H11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19" s="546"/>
      <c r="O119" s="12"/>
      <c r="P119" s="12"/>
      <c r="Q119" s="12"/>
      <c r="R119" s="12"/>
      <c r="S119" s="12"/>
      <c r="T119" s="12"/>
      <c r="U119" s="12"/>
      <c r="V119" s="12"/>
      <c r="W119" s="12"/>
      <c r="X119" s="12"/>
      <c r="Y119" s="12"/>
      <c r="Z119" s="12"/>
      <c r="AA119" s="12"/>
      <c r="AB119" s="12"/>
      <c r="AC119" s="12"/>
    </row>
    <row r="120" spans="1:29" s="19" customFormat="1" ht="25">
      <c r="A120" s="482" t="s">
        <v>205</v>
      </c>
      <c r="B120" s="498" t="str">
        <f t="array" ref="B12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0" s="499"/>
      <c r="D120" s="473" t="str">
        <f>IF(TBL_Q_06_Select_All[[#This Row],[Type]]="Question", IF(OR(TBL_Q_06_Select_All[[#This Row],[Shade?]]="Shade", TBL_Q_06_Select_All[[#This Row],[Question]]="Question not used
"), "", IF(TBL_Q_06_Select_All[[#This Row],[Response]]&lt;&gt;"", "Done", "Add")), "")</f>
        <v/>
      </c>
      <c r="E120" s="491" t="s">
        <v>332</v>
      </c>
      <c r="F120" s="487" t="s">
        <v>195</v>
      </c>
      <c r="G120" s="500" t="s">
        <v>577</v>
      </c>
      <c r="H120" s="486" t="str" cm="1">
        <f t="array" ref="H12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0" s="546"/>
      <c r="O120" s="12"/>
      <c r="P120" s="12"/>
      <c r="Q120" s="12"/>
      <c r="R120" s="12"/>
      <c r="S120" s="12"/>
      <c r="T120" s="12"/>
      <c r="U120" s="12"/>
      <c r="V120" s="12"/>
      <c r="W120" s="12"/>
      <c r="X120" s="12"/>
      <c r="Y120" s="12"/>
      <c r="Z120" s="12"/>
      <c r="AA120" s="12"/>
      <c r="AB120" s="12"/>
      <c r="AC120" s="12"/>
    </row>
    <row r="121" spans="1:29" s="19" customFormat="1" ht="26">
      <c r="A121" s="73" t="s">
        <v>261</v>
      </c>
      <c r="B121" s="68" t="str">
        <f t="array" ref="B12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1" s="473"/>
      <c r="D121" s="473" t="str">
        <f>IF(TBL_Q_06_Select_All[[#This Row],[Type]]="Question", IF(OR(TBL_Q_06_Select_All[[#This Row],[Shade?]]="Shade", TBL_Q_06_Select_All[[#This Row],[Question]]="Question not used
"), "", IF(TBL_Q_06_Select_All[[#This Row],[Response]]&lt;&gt;"", "Done", "Add")), "")</f>
        <v/>
      </c>
      <c r="E121" s="491" t="s">
        <v>146</v>
      </c>
      <c r="F121" s="487" t="s">
        <v>261</v>
      </c>
      <c r="G121" s="500" t="s">
        <v>24</v>
      </c>
      <c r="H121" s="486" t="str" cm="1">
        <f t="array" ref="H12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1" s="546"/>
      <c r="O121" s="12"/>
      <c r="P121" s="12"/>
      <c r="Q121" s="12"/>
      <c r="R121" s="12"/>
      <c r="S121" s="12"/>
      <c r="T121" s="12"/>
      <c r="U121" s="12"/>
      <c r="V121" s="12"/>
      <c r="W121" s="12"/>
      <c r="X121" s="12"/>
      <c r="Y121" s="12"/>
      <c r="Z121" s="12"/>
      <c r="AA121" s="12"/>
      <c r="AB121" s="12"/>
      <c r="AC121" s="12"/>
    </row>
    <row r="122" spans="1:29" s="19" customFormat="1" ht="26">
      <c r="A122" s="74" t="s">
        <v>261</v>
      </c>
      <c r="B122" s="69" t="str">
        <f t="array" ref="B12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2" s="497"/>
      <c r="D122" s="473" t="str">
        <f>IF(TBL_Q_06_Select_All[[#This Row],[Type]]="Question", IF(OR(TBL_Q_06_Select_All[[#This Row],[Shade?]]="Shade", TBL_Q_06_Select_All[[#This Row],[Question]]="Question not used
"), "", IF(TBL_Q_06_Select_All[[#This Row],[Response]]&lt;&gt;"", "Done", "Add")), "")</f>
        <v/>
      </c>
      <c r="E122" s="491" t="s">
        <v>348</v>
      </c>
      <c r="F122" s="487" t="s">
        <v>261</v>
      </c>
      <c r="G122" s="500" t="s">
        <v>24</v>
      </c>
      <c r="H122" s="486" t="str" cm="1">
        <f t="array" ref="H12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2" s="546"/>
      <c r="O122" s="12"/>
      <c r="P122" s="12"/>
      <c r="Q122" s="12"/>
      <c r="R122" s="12"/>
      <c r="S122" s="12"/>
      <c r="T122" s="12"/>
      <c r="U122" s="12"/>
      <c r="V122" s="12"/>
      <c r="W122" s="12"/>
      <c r="X122" s="12"/>
      <c r="Y122" s="12"/>
      <c r="Z122" s="12"/>
      <c r="AA122" s="12"/>
      <c r="AB122" s="12"/>
      <c r="AC122" s="12"/>
    </row>
    <row r="123" spans="1:29" s="19" customFormat="1" ht="25">
      <c r="A123" s="120" t="s">
        <v>262</v>
      </c>
      <c r="B123" s="69" t="str">
        <f t="array" ref="B12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3" s="493"/>
      <c r="D123" s="473" t="str">
        <f>IF(TBL_Q_06_Select_All[[#This Row],[Type]]="Question", IF(OR(TBL_Q_06_Select_All[[#This Row],[Shade?]]="Shade", TBL_Q_06_Select_All[[#This Row],[Question]]="Question not used
"), "", IF(TBL_Q_06_Select_All[[#This Row],[Response]]&lt;&gt;"", "Done", "Add")), "")</f>
        <v/>
      </c>
      <c r="E123" s="491" t="s">
        <v>332</v>
      </c>
      <c r="F123" s="487" t="s">
        <v>261</v>
      </c>
      <c r="G123" s="500" t="s">
        <v>568</v>
      </c>
      <c r="H123" s="486" t="str" cm="1">
        <f t="array" ref="H12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3" s="546"/>
      <c r="O123" s="12"/>
      <c r="P123" s="12"/>
      <c r="Q123" s="12"/>
      <c r="R123" s="12"/>
      <c r="S123" s="12"/>
      <c r="T123" s="12"/>
      <c r="U123" s="12"/>
      <c r="V123" s="12"/>
      <c r="W123" s="12"/>
      <c r="X123" s="12"/>
      <c r="Y123" s="12"/>
      <c r="Z123" s="12"/>
      <c r="AA123" s="12"/>
      <c r="AB123" s="12"/>
      <c r="AC123" s="12"/>
    </row>
    <row r="124" spans="1:29" s="19" customFormat="1" ht="25">
      <c r="A124" s="120" t="s">
        <v>263</v>
      </c>
      <c r="B124" s="69" t="str">
        <f t="array" ref="B12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4" s="493"/>
      <c r="D124" s="473" t="str">
        <f>IF(TBL_Q_06_Select_All[[#This Row],[Type]]="Question", IF(OR(TBL_Q_06_Select_All[[#This Row],[Shade?]]="Shade", TBL_Q_06_Select_All[[#This Row],[Question]]="Question not used
"), "", IF(TBL_Q_06_Select_All[[#This Row],[Response]]&lt;&gt;"", "Done", "Add")), "")</f>
        <v/>
      </c>
      <c r="E124" s="491" t="s">
        <v>332</v>
      </c>
      <c r="F124" s="487" t="s">
        <v>261</v>
      </c>
      <c r="G124" s="500" t="s">
        <v>572</v>
      </c>
      <c r="H124" s="486" t="str" cm="1">
        <f t="array" ref="H12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4" s="546"/>
      <c r="O124" s="12"/>
      <c r="P124" s="12"/>
      <c r="Q124" s="12"/>
      <c r="R124" s="12"/>
      <c r="S124" s="12"/>
      <c r="T124" s="12"/>
      <c r="U124" s="12"/>
      <c r="V124" s="12"/>
      <c r="W124" s="12"/>
      <c r="X124" s="12"/>
      <c r="Y124" s="12"/>
      <c r="Z124" s="12"/>
      <c r="AA124" s="12"/>
      <c r="AB124" s="12"/>
      <c r="AC124" s="12"/>
    </row>
    <row r="125" spans="1:29" s="19" customFormat="1" ht="25">
      <c r="A125" s="120" t="s">
        <v>264</v>
      </c>
      <c r="B125" s="69" t="str">
        <f t="array" ref="B12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5" s="493"/>
      <c r="D125" s="473" t="str">
        <f>IF(TBL_Q_06_Select_All[[#This Row],[Type]]="Question", IF(OR(TBL_Q_06_Select_All[[#This Row],[Shade?]]="Shade", TBL_Q_06_Select_All[[#This Row],[Question]]="Question not used
"), "", IF(TBL_Q_06_Select_All[[#This Row],[Response]]&lt;&gt;"", "Done", "Add")), "")</f>
        <v/>
      </c>
      <c r="E125" s="491" t="s">
        <v>332</v>
      </c>
      <c r="F125" s="487" t="s">
        <v>261</v>
      </c>
      <c r="G125" s="500" t="s">
        <v>569</v>
      </c>
      <c r="H125" s="486" t="str" cm="1">
        <f t="array" ref="H12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5" s="546"/>
      <c r="O125" s="12"/>
      <c r="P125" s="12"/>
      <c r="Q125" s="12"/>
      <c r="R125" s="12"/>
      <c r="S125" s="12"/>
      <c r="T125" s="12"/>
      <c r="U125" s="12"/>
      <c r="V125" s="12"/>
      <c r="W125" s="12"/>
      <c r="X125" s="12"/>
      <c r="Y125" s="12"/>
      <c r="Z125" s="12"/>
      <c r="AA125" s="12"/>
      <c r="AB125" s="12"/>
      <c r="AC125" s="12"/>
    </row>
    <row r="126" spans="1:29" s="19" customFormat="1" ht="25">
      <c r="A126" s="120" t="s">
        <v>265</v>
      </c>
      <c r="B126" s="69" t="str">
        <f t="array" ref="B12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6" s="493"/>
      <c r="D126" s="473" t="str">
        <f>IF(TBL_Q_06_Select_All[[#This Row],[Type]]="Question", IF(OR(TBL_Q_06_Select_All[[#This Row],[Shade?]]="Shade", TBL_Q_06_Select_All[[#This Row],[Question]]="Question not used
"), "", IF(TBL_Q_06_Select_All[[#This Row],[Response]]&lt;&gt;"", "Done", "Add")), "")</f>
        <v/>
      </c>
      <c r="E126" s="491" t="s">
        <v>332</v>
      </c>
      <c r="F126" s="487" t="s">
        <v>261</v>
      </c>
      <c r="G126" s="500" t="s">
        <v>570</v>
      </c>
      <c r="H126" s="486" t="str" cm="1">
        <f t="array" ref="H12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6" s="546"/>
      <c r="O126" s="12"/>
      <c r="P126" s="12"/>
      <c r="Q126" s="12"/>
      <c r="R126" s="12"/>
      <c r="S126" s="12"/>
      <c r="T126" s="12"/>
      <c r="U126" s="12"/>
      <c r="V126" s="12"/>
      <c r="W126" s="12"/>
      <c r="X126" s="12"/>
      <c r="Y126" s="12"/>
      <c r="Z126" s="12"/>
      <c r="AA126" s="12"/>
      <c r="AB126" s="12"/>
      <c r="AC126" s="12"/>
    </row>
    <row r="127" spans="1:29" s="19" customFormat="1" ht="25">
      <c r="A127" s="120" t="s">
        <v>266</v>
      </c>
      <c r="B127" s="69" t="str">
        <f t="array" ref="B12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7" s="493"/>
      <c r="D127" s="473" t="str">
        <f>IF(TBL_Q_06_Select_All[[#This Row],[Type]]="Question", IF(OR(TBL_Q_06_Select_All[[#This Row],[Shade?]]="Shade", TBL_Q_06_Select_All[[#This Row],[Question]]="Question not used
"), "", IF(TBL_Q_06_Select_All[[#This Row],[Response]]&lt;&gt;"", "Done", "Add")), "")</f>
        <v/>
      </c>
      <c r="E127" s="491" t="s">
        <v>332</v>
      </c>
      <c r="F127" s="487" t="s">
        <v>261</v>
      </c>
      <c r="G127" s="500" t="s">
        <v>571</v>
      </c>
      <c r="H127" s="486" t="str" cm="1">
        <f t="array" ref="H12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7" s="546"/>
      <c r="O127" s="12"/>
      <c r="P127" s="12"/>
      <c r="Q127" s="12"/>
      <c r="R127" s="12"/>
      <c r="S127" s="12"/>
      <c r="T127" s="12"/>
      <c r="U127" s="12"/>
      <c r="V127" s="12"/>
      <c r="W127" s="12"/>
      <c r="X127" s="12"/>
      <c r="Y127" s="12"/>
      <c r="Z127" s="12"/>
      <c r="AA127" s="12"/>
      <c r="AB127" s="12"/>
      <c r="AC127" s="12"/>
    </row>
    <row r="128" spans="1:29" s="19" customFormat="1" ht="25">
      <c r="A128" s="120" t="s">
        <v>267</v>
      </c>
      <c r="B128" s="69" t="str">
        <f t="array" ref="B12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8" s="493"/>
      <c r="D128" s="473" t="str">
        <f>IF(TBL_Q_06_Select_All[[#This Row],[Type]]="Question", IF(OR(TBL_Q_06_Select_All[[#This Row],[Shade?]]="Shade", TBL_Q_06_Select_All[[#This Row],[Question]]="Question not used
"), "", IF(TBL_Q_06_Select_All[[#This Row],[Response]]&lt;&gt;"", "Done", "Add")), "")</f>
        <v/>
      </c>
      <c r="E128" s="491" t="s">
        <v>332</v>
      </c>
      <c r="F128" s="487" t="s">
        <v>261</v>
      </c>
      <c r="G128" s="500" t="s">
        <v>573</v>
      </c>
      <c r="H128" s="486" t="str" cm="1">
        <f t="array" ref="H12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8" s="546"/>
      <c r="O128" s="12"/>
      <c r="P128" s="12"/>
      <c r="Q128" s="12"/>
      <c r="R128" s="12"/>
      <c r="S128" s="12"/>
      <c r="T128" s="12"/>
      <c r="U128" s="12"/>
      <c r="V128" s="12"/>
      <c r="W128" s="12"/>
      <c r="X128" s="12"/>
      <c r="Y128" s="12"/>
      <c r="Z128" s="12"/>
      <c r="AA128" s="12"/>
      <c r="AB128" s="12"/>
      <c r="AC128" s="12"/>
    </row>
    <row r="129" spans="1:29" s="19" customFormat="1" ht="25">
      <c r="A129" s="120" t="s">
        <v>268</v>
      </c>
      <c r="B129" s="69" t="str">
        <f t="array" ref="B12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29" s="493"/>
      <c r="D129" s="473" t="str">
        <f>IF(TBL_Q_06_Select_All[[#This Row],[Type]]="Question", IF(OR(TBL_Q_06_Select_All[[#This Row],[Shade?]]="Shade", TBL_Q_06_Select_All[[#This Row],[Question]]="Question not used
"), "", IF(TBL_Q_06_Select_All[[#This Row],[Response]]&lt;&gt;"", "Done", "Add")), "")</f>
        <v/>
      </c>
      <c r="E129" s="491" t="s">
        <v>332</v>
      </c>
      <c r="F129" s="487" t="s">
        <v>261</v>
      </c>
      <c r="G129" s="500" t="s">
        <v>574</v>
      </c>
      <c r="H129" s="486" t="str" cm="1">
        <f t="array" ref="H12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29" s="546"/>
      <c r="O129" s="12"/>
      <c r="P129" s="12"/>
      <c r="Q129" s="12"/>
      <c r="R129" s="12"/>
      <c r="S129" s="12"/>
      <c r="T129" s="12"/>
      <c r="U129" s="12"/>
      <c r="V129" s="12"/>
      <c r="W129" s="12"/>
      <c r="X129" s="12"/>
      <c r="Y129" s="12"/>
      <c r="Z129" s="12"/>
      <c r="AA129" s="12"/>
      <c r="AB129" s="12"/>
      <c r="AC129" s="12"/>
    </row>
    <row r="130" spans="1:29" s="19" customFormat="1" ht="25">
      <c r="A130" s="120" t="s">
        <v>269</v>
      </c>
      <c r="B130" s="69" t="str">
        <f t="array" ref="B13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0" s="493"/>
      <c r="D130" s="473" t="str">
        <f>IF(TBL_Q_06_Select_All[[#This Row],[Type]]="Question", IF(OR(TBL_Q_06_Select_All[[#This Row],[Shade?]]="Shade", TBL_Q_06_Select_All[[#This Row],[Question]]="Question not used
"), "", IF(TBL_Q_06_Select_All[[#This Row],[Response]]&lt;&gt;"", "Done", "Add")), "")</f>
        <v/>
      </c>
      <c r="E130" s="491" t="s">
        <v>332</v>
      </c>
      <c r="F130" s="487" t="s">
        <v>261</v>
      </c>
      <c r="G130" s="500" t="s">
        <v>575</v>
      </c>
      <c r="H130" s="486" t="str" cm="1">
        <f t="array" ref="H13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0" s="546"/>
      <c r="O130" s="12"/>
      <c r="P130" s="12"/>
      <c r="Q130" s="12"/>
      <c r="R130" s="12"/>
      <c r="S130" s="12"/>
      <c r="T130" s="12"/>
      <c r="U130" s="12"/>
      <c r="V130" s="12"/>
      <c r="W130" s="12"/>
      <c r="X130" s="12"/>
      <c r="Y130" s="12"/>
      <c r="Z130" s="12"/>
      <c r="AA130" s="12"/>
      <c r="AB130" s="12"/>
      <c r="AC130" s="12"/>
    </row>
    <row r="131" spans="1:29" s="19" customFormat="1" ht="25">
      <c r="A131" s="120" t="s">
        <v>270</v>
      </c>
      <c r="B131" s="69" t="str">
        <f t="array" ref="B13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1" s="493"/>
      <c r="D131" s="473" t="str">
        <f>IF(TBL_Q_06_Select_All[[#This Row],[Type]]="Question", IF(OR(TBL_Q_06_Select_All[[#This Row],[Shade?]]="Shade", TBL_Q_06_Select_All[[#This Row],[Question]]="Question not used
"), "", IF(TBL_Q_06_Select_All[[#This Row],[Response]]&lt;&gt;"", "Done", "Add")), "")</f>
        <v/>
      </c>
      <c r="E131" s="491" t="s">
        <v>332</v>
      </c>
      <c r="F131" s="487" t="s">
        <v>261</v>
      </c>
      <c r="G131" s="500" t="s">
        <v>576</v>
      </c>
      <c r="H131" s="486" t="str" cm="1">
        <f t="array" ref="H13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1" s="546"/>
      <c r="O131" s="12"/>
      <c r="P131" s="12"/>
      <c r="Q131" s="12"/>
      <c r="R131" s="12"/>
      <c r="S131" s="12"/>
      <c r="T131" s="12"/>
      <c r="U131" s="12"/>
      <c r="V131" s="12"/>
      <c r="W131" s="12"/>
      <c r="X131" s="12"/>
      <c r="Y131" s="12"/>
      <c r="Z131" s="12"/>
      <c r="AA131" s="12"/>
      <c r="AB131" s="12"/>
      <c r="AC131" s="12"/>
    </row>
    <row r="132" spans="1:29" s="19" customFormat="1" ht="25">
      <c r="A132" s="482" t="s">
        <v>271</v>
      </c>
      <c r="B132" s="498" t="str">
        <f t="array" ref="B13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2" s="499"/>
      <c r="D132" s="473" t="str">
        <f>IF(TBL_Q_06_Select_All[[#This Row],[Type]]="Question", IF(OR(TBL_Q_06_Select_All[[#This Row],[Shade?]]="Shade", TBL_Q_06_Select_All[[#This Row],[Question]]="Question not used
"), "", IF(TBL_Q_06_Select_All[[#This Row],[Response]]&lt;&gt;"", "Done", "Add")), "")</f>
        <v/>
      </c>
      <c r="E132" s="491" t="s">
        <v>332</v>
      </c>
      <c r="F132" s="487" t="s">
        <v>261</v>
      </c>
      <c r="G132" s="500" t="s">
        <v>577</v>
      </c>
      <c r="H132" s="486" t="str" cm="1">
        <f t="array" ref="H13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2" s="546"/>
      <c r="O132" s="12"/>
      <c r="P132" s="12"/>
      <c r="Q132" s="12"/>
      <c r="R132" s="12"/>
      <c r="S132" s="12"/>
      <c r="T132" s="12"/>
      <c r="U132" s="12"/>
      <c r="V132" s="12"/>
      <c r="W132" s="12"/>
      <c r="X132" s="12"/>
      <c r="Y132" s="12"/>
      <c r="Z132" s="12"/>
      <c r="AA132" s="12"/>
      <c r="AB132" s="12"/>
      <c r="AC132" s="12"/>
    </row>
    <row r="133" spans="1:29" s="19" customFormat="1" ht="26">
      <c r="A133" s="73" t="s">
        <v>272</v>
      </c>
      <c r="B133" s="68" t="str">
        <f t="array" ref="B13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3" s="473"/>
      <c r="D133" s="473" t="str">
        <f>IF(TBL_Q_06_Select_All[[#This Row],[Type]]="Question", IF(OR(TBL_Q_06_Select_All[[#This Row],[Shade?]]="Shade", TBL_Q_06_Select_All[[#This Row],[Question]]="Question not used
"), "", IF(TBL_Q_06_Select_All[[#This Row],[Response]]&lt;&gt;"", "Done", "Add")), "")</f>
        <v/>
      </c>
      <c r="E133" s="491" t="s">
        <v>146</v>
      </c>
      <c r="F133" s="487" t="s">
        <v>272</v>
      </c>
      <c r="G133" s="500" t="s">
        <v>24</v>
      </c>
      <c r="H133" s="486" t="str" cm="1">
        <f t="array" ref="H13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3" s="546"/>
      <c r="O133" s="12"/>
      <c r="P133" s="12"/>
      <c r="Q133" s="12"/>
      <c r="R133" s="12"/>
      <c r="S133" s="12"/>
      <c r="T133" s="12"/>
      <c r="U133" s="12"/>
      <c r="V133" s="12"/>
      <c r="W133" s="12"/>
      <c r="X133" s="12"/>
      <c r="Y133" s="12"/>
      <c r="Z133" s="12"/>
      <c r="AA133" s="12"/>
      <c r="AB133" s="12"/>
      <c r="AC133" s="12"/>
    </row>
    <row r="134" spans="1:29" s="19" customFormat="1" ht="26">
      <c r="A134" s="74" t="s">
        <v>272</v>
      </c>
      <c r="B134" s="69" t="str">
        <f t="array" ref="B13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4" s="497"/>
      <c r="D134" s="473" t="str">
        <f>IF(TBL_Q_06_Select_All[[#This Row],[Type]]="Question", IF(OR(TBL_Q_06_Select_All[[#This Row],[Shade?]]="Shade", TBL_Q_06_Select_All[[#This Row],[Question]]="Question not used
"), "", IF(TBL_Q_06_Select_All[[#This Row],[Response]]&lt;&gt;"", "Done", "Add")), "")</f>
        <v/>
      </c>
      <c r="E134" s="491" t="s">
        <v>348</v>
      </c>
      <c r="F134" s="487" t="s">
        <v>272</v>
      </c>
      <c r="G134" s="500" t="s">
        <v>24</v>
      </c>
      <c r="H134" s="486" t="str" cm="1">
        <f t="array" ref="H13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4" s="546"/>
      <c r="O134" s="12"/>
      <c r="P134" s="12"/>
      <c r="Q134" s="12"/>
      <c r="R134" s="12"/>
      <c r="S134" s="12"/>
      <c r="T134" s="12"/>
      <c r="U134" s="12"/>
      <c r="V134" s="12"/>
      <c r="W134" s="12"/>
      <c r="X134" s="12"/>
      <c r="Y134" s="12"/>
      <c r="Z134" s="12"/>
      <c r="AA134" s="12"/>
      <c r="AB134" s="12"/>
      <c r="AC134" s="12"/>
    </row>
    <row r="135" spans="1:29" s="19" customFormat="1" ht="25">
      <c r="A135" s="120" t="s">
        <v>273</v>
      </c>
      <c r="B135" s="69" t="str">
        <f t="array" ref="B13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5" s="493"/>
      <c r="D135" s="473" t="str">
        <f>IF(TBL_Q_06_Select_All[[#This Row],[Type]]="Question", IF(OR(TBL_Q_06_Select_All[[#This Row],[Shade?]]="Shade", TBL_Q_06_Select_All[[#This Row],[Question]]="Question not used
"), "", IF(TBL_Q_06_Select_All[[#This Row],[Response]]&lt;&gt;"", "Done", "Add")), "")</f>
        <v/>
      </c>
      <c r="E135" s="491" t="s">
        <v>332</v>
      </c>
      <c r="F135" s="487" t="s">
        <v>272</v>
      </c>
      <c r="G135" s="500" t="s">
        <v>568</v>
      </c>
      <c r="H135" s="486" t="str" cm="1">
        <f t="array" ref="H13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5" s="546"/>
      <c r="O135" s="12"/>
      <c r="P135" s="12"/>
      <c r="Q135" s="12"/>
      <c r="R135" s="12"/>
      <c r="S135" s="12"/>
      <c r="T135" s="12"/>
      <c r="U135" s="12"/>
      <c r="V135" s="12"/>
      <c r="W135" s="12"/>
      <c r="X135" s="12"/>
      <c r="Y135" s="12"/>
      <c r="Z135" s="12"/>
      <c r="AA135" s="12"/>
      <c r="AB135" s="12"/>
      <c r="AC135" s="12"/>
    </row>
    <row r="136" spans="1:29" s="19" customFormat="1" ht="25">
      <c r="A136" s="120" t="s">
        <v>274</v>
      </c>
      <c r="B136" s="69" t="str">
        <f t="array" ref="B13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6" s="493"/>
      <c r="D136" s="473" t="str">
        <f>IF(TBL_Q_06_Select_All[[#This Row],[Type]]="Question", IF(OR(TBL_Q_06_Select_All[[#This Row],[Shade?]]="Shade", TBL_Q_06_Select_All[[#This Row],[Question]]="Question not used
"), "", IF(TBL_Q_06_Select_All[[#This Row],[Response]]&lt;&gt;"", "Done", "Add")), "")</f>
        <v/>
      </c>
      <c r="E136" s="491" t="s">
        <v>332</v>
      </c>
      <c r="F136" s="487" t="s">
        <v>272</v>
      </c>
      <c r="G136" s="500" t="s">
        <v>572</v>
      </c>
      <c r="H136" s="486" t="str" cm="1">
        <f t="array" ref="H13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6" s="546"/>
      <c r="O136" s="12"/>
      <c r="P136" s="12"/>
      <c r="Q136" s="12"/>
      <c r="R136" s="12"/>
      <c r="S136" s="12"/>
      <c r="T136" s="12"/>
      <c r="U136" s="12"/>
      <c r="V136" s="12"/>
      <c r="W136" s="12"/>
      <c r="X136" s="12"/>
      <c r="Y136" s="12"/>
      <c r="Z136" s="12"/>
      <c r="AA136" s="12"/>
      <c r="AB136" s="12"/>
      <c r="AC136" s="12"/>
    </row>
    <row r="137" spans="1:29" s="19" customFormat="1" ht="25">
      <c r="A137" s="120" t="s">
        <v>275</v>
      </c>
      <c r="B137" s="69" t="str">
        <f t="array" ref="B13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7" s="493"/>
      <c r="D137" s="473" t="str">
        <f>IF(TBL_Q_06_Select_All[[#This Row],[Type]]="Question", IF(OR(TBL_Q_06_Select_All[[#This Row],[Shade?]]="Shade", TBL_Q_06_Select_All[[#This Row],[Question]]="Question not used
"), "", IF(TBL_Q_06_Select_All[[#This Row],[Response]]&lt;&gt;"", "Done", "Add")), "")</f>
        <v/>
      </c>
      <c r="E137" s="491" t="s">
        <v>332</v>
      </c>
      <c r="F137" s="487" t="s">
        <v>272</v>
      </c>
      <c r="G137" s="500" t="s">
        <v>569</v>
      </c>
      <c r="H137" s="486" t="str" cm="1">
        <f t="array" ref="H13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7" s="546"/>
      <c r="O137" s="12"/>
      <c r="P137" s="12"/>
      <c r="Q137" s="12"/>
      <c r="R137" s="12"/>
      <c r="S137" s="12"/>
      <c r="T137" s="12"/>
      <c r="U137" s="12"/>
      <c r="V137" s="12"/>
      <c r="W137" s="12"/>
      <c r="X137" s="12"/>
      <c r="Y137" s="12"/>
      <c r="Z137" s="12"/>
      <c r="AA137" s="12"/>
      <c r="AB137" s="12"/>
      <c r="AC137" s="12"/>
    </row>
    <row r="138" spans="1:29" s="19" customFormat="1" ht="25">
      <c r="A138" s="120" t="s">
        <v>276</v>
      </c>
      <c r="B138" s="69" t="str">
        <f t="array" ref="B13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8" s="493"/>
      <c r="D138" s="473" t="str">
        <f>IF(TBL_Q_06_Select_All[[#This Row],[Type]]="Question", IF(OR(TBL_Q_06_Select_All[[#This Row],[Shade?]]="Shade", TBL_Q_06_Select_All[[#This Row],[Question]]="Question not used
"), "", IF(TBL_Q_06_Select_All[[#This Row],[Response]]&lt;&gt;"", "Done", "Add")), "")</f>
        <v/>
      </c>
      <c r="E138" s="491" t="s">
        <v>332</v>
      </c>
      <c r="F138" s="487" t="s">
        <v>272</v>
      </c>
      <c r="G138" s="500" t="s">
        <v>570</v>
      </c>
      <c r="H138" s="486" t="str" cm="1">
        <f t="array" ref="H13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8" s="546"/>
      <c r="O138" s="12"/>
      <c r="P138" s="12"/>
      <c r="Q138" s="12"/>
      <c r="R138" s="12"/>
      <c r="S138" s="12"/>
      <c r="T138" s="12"/>
      <c r="U138" s="12"/>
      <c r="V138" s="12"/>
      <c r="W138" s="12"/>
      <c r="X138" s="12"/>
      <c r="Y138" s="12"/>
      <c r="Z138" s="12"/>
      <c r="AA138" s="12"/>
      <c r="AB138" s="12"/>
      <c r="AC138" s="12"/>
    </row>
    <row r="139" spans="1:29" s="19" customFormat="1" ht="25">
      <c r="A139" s="120" t="s">
        <v>277</v>
      </c>
      <c r="B139" s="69" t="str">
        <f t="array" ref="B13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39" s="493"/>
      <c r="D139" s="473" t="str">
        <f>IF(TBL_Q_06_Select_All[[#This Row],[Type]]="Question", IF(OR(TBL_Q_06_Select_All[[#This Row],[Shade?]]="Shade", TBL_Q_06_Select_All[[#This Row],[Question]]="Question not used
"), "", IF(TBL_Q_06_Select_All[[#This Row],[Response]]&lt;&gt;"", "Done", "Add")), "")</f>
        <v/>
      </c>
      <c r="E139" s="491" t="s">
        <v>332</v>
      </c>
      <c r="F139" s="487" t="s">
        <v>272</v>
      </c>
      <c r="G139" s="500" t="s">
        <v>571</v>
      </c>
      <c r="H139" s="486" t="str" cm="1">
        <f t="array" ref="H13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39" s="546"/>
      <c r="O139" s="12"/>
      <c r="P139" s="12"/>
      <c r="Q139" s="12"/>
      <c r="R139" s="12"/>
      <c r="S139" s="12"/>
      <c r="T139" s="12"/>
      <c r="U139" s="12"/>
      <c r="V139" s="12"/>
      <c r="W139" s="12"/>
      <c r="X139" s="12"/>
      <c r="Y139" s="12"/>
      <c r="Z139" s="12"/>
      <c r="AA139" s="12"/>
      <c r="AB139" s="12"/>
      <c r="AC139" s="12"/>
    </row>
    <row r="140" spans="1:29" s="19" customFormat="1" ht="25">
      <c r="A140" s="120" t="s">
        <v>278</v>
      </c>
      <c r="B140" s="69" t="str">
        <f t="array" ref="B14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0" s="493"/>
      <c r="D140" s="473" t="str">
        <f>IF(TBL_Q_06_Select_All[[#This Row],[Type]]="Question", IF(OR(TBL_Q_06_Select_All[[#This Row],[Shade?]]="Shade", TBL_Q_06_Select_All[[#This Row],[Question]]="Question not used
"), "", IF(TBL_Q_06_Select_All[[#This Row],[Response]]&lt;&gt;"", "Done", "Add")), "")</f>
        <v/>
      </c>
      <c r="E140" s="491" t="s">
        <v>332</v>
      </c>
      <c r="F140" s="487" t="s">
        <v>272</v>
      </c>
      <c r="G140" s="500" t="s">
        <v>573</v>
      </c>
      <c r="H140" s="486" t="str" cm="1">
        <f t="array" ref="H14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0" s="546"/>
      <c r="O140" s="12"/>
      <c r="P140" s="12"/>
      <c r="Q140" s="12"/>
      <c r="R140" s="12"/>
      <c r="S140" s="12"/>
      <c r="T140" s="12"/>
      <c r="U140" s="12"/>
      <c r="V140" s="12"/>
      <c r="W140" s="12"/>
      <c r="X140" s="12"/>
      <c r="Y140" s="12"/>
      <c r="Z140" s="12"/>
      <c r="AA140" s="12"/>
      <c r="AB140" s="12"/>
      <c r="AC140" s="12"/>
    </row>
    <row r="141" spans="1:29" s="19" customFormat="1" ht="25">
      <c r="A141" s="120" t="s">
        <v>279</v>
      </c>
      <c r="B141" s="69" t="str">
        <f t="array" ref="B14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1" s="493"/>
      <c r="D141" s="473" t="str">
        <f>IF(TBL_Q_06_Select_All[[#This Row],[Type]]="Question", IF(OR(TBL_Q_06_Select_All[[#This Row],[Shade?]]="Shade", TBL_Q_06_Select_All[[#This Row],[Question]]="Question not used
"), "", IF(TBL_Q_06_Select_All[[#This Row],[Response]]&lt;&gt;"", "Done", "Add")), "")</f>
        <v/>
      </c>
      <c r="E141" s="491" t="s">
        <v>332</v>
      </c>
      <c r="F141" s="487" t="s">
        <v>272</v>
      </c>
      <c r="G141" s="475" t="s">
        <v>574</v>
      </c>
      <c r="H141" s="486" t="str" cm="1">
        <f t="array" ref="H14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1" s="546"/>
      <c r="O141" s="12"/>
      <c r="P141" s="12"/>
      <c r="Q141" s="12"/>
      <c r="R141" s="12"/>
      <c r="S141" s="12"/>
      <c r="T141" s="12"/>
      <c r="U141" s="12"/>
      <c r="V141" s="12"/>
      <c r="W141" s="12"/>
      <c r="X141" s="12"/>
      <c r="Y141" s="12"/>
      <c r="Z141" s="12"/>
      <c r="AA141" s="12"/>
      <c r="AB141" s="12"/>
      <c r="AC141" s="12"/>
    </row>
    <row r="142" spans="1:29" s="19" customFormat="1" ht="25">
      <c r="A142" s="120" t="s">
        <v>280</v>
      </c>
      <c r="B142" s="69" t="str">
        <f t="array" ref="B14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2" s="493"/>
      <c r="D142" s="473" t="str">
        <f>IF(TBL_Q_06_Select_All[[#This Row],[Type]]="Question", IF(OR(TBL_Q_06_Select_All[[#This Row],[Shade?]]="Shade", TBL_Q_06_Select_All[[#This Row],[Question]]="Question not used
"), "", IF(TBL_Q_06_Select_All[[#This Row],[Response]]&lt;&gt;"", "Done", "Add")), "")</f>
        <v/>
      </c>
      <c r="E142" s="491" t="s">
        <v>332</v>
      </c>
      <c r="F142" s="487" t="s">
        <v>272</v>
      </c>
      <c r="G142" s="475" t="s">
        <v>575</v>
      </c>
      <c r="H142" s="486" t="str" cm="1">
        <f t="array" ref="H14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2" s="546"/>
      <c r="O142" s="12"/>
      <c r="P142" s="12"/>
      <c r="Q142" s="12"/>
      <c r="R142" s="12"/>
      <c r="S142" s="12"/>
      <c r="T142" s="12"/>
      <c r="U142" s="12"/>
      <c r="V142" s="12"/>
      <c r="W142" s="12"/>
      <c r="X142" s="12"/>
      <c r="Y142" s="12"/>
      <c r="Z142" s="12"/>
      <c r="AA142" s="12"/>
      <c r="AB142" s="12"/>
      <c r="AC142" s="12"/>
    </row>
    <row r="143" spans="1:29" s="19" customFormat="1" ht="25">
      <c r="A143" s="120" t="s">
        <v>281</v>
      </c>
      <c r="B143" s="69" t="str">
        <f t="array" ref="B14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3" s="493"/>
      <c r="D143" s="473" t="str">
        <f>IF(TBL_Q_06_Select_All[[#This Row],[Type]]="Question", IF(OR(TBL_Q_06_Select_All[[#This Row],[Shade?]]="Shade", TBL_Q_06_Select_All[[#This Row],[Question]]="Question not used
"), "", IF(TBL_Q_06_Select_All[[#This Row],[Response]]&lt;&gt;"", "Done", "Add")), "")</f>
        <v/>
      </c>
      <c r="E143" s="491" t="s">
        <v>332</v>
      </c>
      <c r="F143" s="487" t="s">
        <v>272</v>
      </c>
      <c r="G143" s="475" t="s">
        <v>576</v>
      </c>
      <c r="H143" s="486" t="str" cm="1">
        <f t="array" ref="H14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3" s="546"/>
      <c r="O143" s="12"/>
      <c r="P143" s="12"/>
      <c r="Q143" s="12"/>
      <c r="R143" s="12"/>
      <c r="S143" s="12"/>
      <c r="T143" s="12"/>
      <c r="U143" s="12"/>
      <c r="V143" s="12"/>
      <c r="W143" s="12"/>
      <c r="X143" s="12"/>
      <c r="Y143" s="12"/>
      <c r="Z143" s="12"/>
      <c r="AA143" s="12"/>
      <c r="AB143" s="12"/>
      <c r="AC143" s="12"/>
    </row>
    <row r="144" spans="1:29" s="19" customFormat="1" ht="25">
      <c r="A144" s="482" t="s">
        <v>282</v>
      </c>
      <c r="B144" s="498" t="str">
        <f t="array" ref="B14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4" s="499"/>
      <c r="D144" s="473" t="str">
        <f>IF(TBL_Q_06_Select_All[[#This Row],[Type]]="Question", IF(OR(TBL_Q_06_Select_All[[#This Row],[Shade?]]="Shade", TBL_Q_06_Select_All[[#This Row],[Question]]="Question not used
"), "", IF(TBL_Q_06_Select_All[[#This Row],[Response]]&lt;&gt;"", "Done", "Add")), "")</f>
        <v/>
      </c>
      <c r="E144" s="491" t="s">
        <v>332</v>
      </c>
      <c r="F144" s="487" t="s">
        <v>272</v>
      </c>
      <c r="G144" s="485" t="s">
        <v>577</v>
      </c>
      <c r="H144" s="486" t="str" cm="1">
        <f t="array" ref="H14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4" s="546"/>
      <c r="O144" s="12"/>
      <c r="P144" s="12"/>
      <c r="Q144" s="12"/>
      <c r="R144" s="12"/>
      <c r="S144" s="12"/>
      <c r="T144" s="12"/>
      <c r="U144" s="12"/>
      <c r="V144" s="12"/>
      <c r="W144" s="12"/>
      <c r="X144" s="12"/>
      <c r="Y144" s="12"/>
      <c r="Z144" s="12"/>
      <c r="AA144" s="12"/>
      <c r="AB144" s="12"/>
      <c r="AC144" s="12"/>
    </row>
    <row r="145" spans="1:29" s="19" customFormat="1" ht="26">
      <c r="A145" s="73" t="s">
        <v>283</v>
      </c>
      <c r="B145" s="68" t="str">
        <f t="array" ref="B14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5" s="473"/>
      <c r="D145" s="473" t="str">
        <f>IF(TBL_Q_06_Select_All[[#This Row],[Type]]="Question", IF(OR(TBL_Q_06_Select_All[[#This Row],[Shade?]]="Shade", TBL_Q_06_Select_All[[#This Row],[Question]]="Question not used
"), "", IF(TBL_Q_06_Select_All[[#This Row],[Response]]&lt;&gt;"", "Done", "Add")), "")</f>
        <v/>
      </c>
      <c r="E145" s="491" t="s">
        <v>146</v>
      </c>
      <c r="F145" s="487" t="s">
        <v>283</v>
      </c>
      <c r="G145" s="500" t="s">
        <v>24</v>
      </c>
      <c r="H145" s="486" t="str" cm="1">
        <f t="array" ref="H14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5" s="546"/>
      <c r="O145" s="12"/>
      <c r="P145" s="12"/>
      <c r="Q145" s="12"/>
      <c r="R145" s="12"/>
      <c r="S145" s="12"/>
      <c r="T145" s="12"/>
      <c r="U145" s="12"/>
      <c r="V145" s="12"/>
      <c r="W145" s="12"/>
      <c r="X145" s="12"/>
      <c r="Y145" s="12"/>
      <c r="Z145" s="12"/>
      <c r="AA145" s="12"/>
      <c r="AB145" s="12"/>
      <c r="AC145" s="12"/>
    </row>
    <row r="146" spans="1:29" s="19" customFormat="1" ht="26">
      <c r="A146" s="74" t="s">
        <v>283</v>
      </c>
      <c r="B146" s="69" t="str">
        <f t="array" ref="B14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6" s="497"/>
      <c r="D146" s="473" t="str">
        <f>IF(TBL_Q_06_Select_All[[#This Row],[Type]]="Question", IF(OR(TBL_Q_06_Select_All[[#This Row],[Shade?]]="Shade", TBL_Q_06_Select_All[[#This Row],[Question]]="Question not used
"), "", IF(TBL_Q_06_Select_All[[#This Row],[Response]]&lt;&gt;"", "Done", "Add")), "")</f>
        <v/>
      </c>
      <c r="E146" s="491" t="s">
        <v>348</v>
      </c>
      <c r="F146" s="487" t="s">
        <v>283</v>
      </c>
      <c r="G146" s="500" t="s">
        <v>24</v>
      </c>
      <c r="H146" s="486" t="str" cm="1">
        <f t="array" ref="H14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6" s="546"/>
      <c r="O146" s="12"/>
      <c r="P146" s="12"/>
      <c r="Q146" s="12"/>
      <c r="R146" s="12"/>
      <c r="S146" s="12"/>
      <c r="T146" s="12"/>
      <c r="U146" s="12"/>
      <c r="V146" s="12"/>
      <c r="W146" s="12"/>
      <c r="X146" s="12"/>
      <c r="Y146" s="12"/>
      <c r="Z146" s="12"/>
      <c r="AA146" s="12"/>
      <c r="AB146" s="12"/>
      <c r="AC146" s="12"/>
    </row>
    <row r="147" spans="1:29" s="19" customFormat="1" ht="25">
      <c r="A147" s="120" t="s">
        <v>284</v>
      </c>
      <c r="B147" s="69" t="str">
        <f t="array" ref="B14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7" s="493"/>
      <c r="D147" s="473" t="str">
        <f>IF(TBL_Q_06_Select_All[[#This Row],[Type]]="Question", IF(OR(TBL_Q_06_Select_All[[#This Row],[Shade?]]="Shade", TBL_Q_06_Select_All[[#This Row],[Question]]="Question not used
"), "", IF(TBL_Q_06_Select_All[[#This Row],[Response]]&lt;&gt;"", "Done", "Add")), "")</f>
        <v/>
      </c>
      <c r="E147" s="491" t="s">
        <v>332</v>
      </c>
      <c r="F147" s="487" t="s">
        <v>283</v>
      </c>
      <c r="G147" s="500" t="s">
        <v>568</v>
      </c>
      <c r="H147" s="486" t="str" cm="1">
        <f t="array" ref="H14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7" s="546"/>
      <c r="O147" s="12"/>
      <c r="P147" s="12"/>
      <c r="Q147" s="12"/>
      <c r="R147" s="12"/>
      <c r="S147" s="12"/>
      <c r="T147" s="12"/>
      <c r="U147" s="12"/>
      <c r="V147" s="12"/>
      <c r="W147" s="12"/>
      <c r="X147" s="12"/>
      <c r="Y147" s="12"/>
      <c r="Z147" s="12"/>
      <c r="AA147" s="12"/>
      <c r="AB147" s="12"/>
      <c r="AC147" s="12"/>
    </row>
    <row r="148" spans="1:29" s="19" customFormat="1" ht="25">
      <c r="A148" s="120" t="s">
        <v>285</v>
      </c>
      <c r="B148" s="69" t="str">
        <f t="array" ref="B14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8" s="493"/>
      <c r="D148" s="473" t="str">
        <f>IF(TBL_Q_06_Select_All[[#This Row],[Type]]="Question", IF(OR(TBL_Q_06_Select_All[[#This Row],[Shade?]]="Shade", TBL_Q_06_Select_All[[#This Row],[Question]]="Question not used
"), "", IF(TBL_Q_06_Select_All[[#This Row],[Response]]&lt;&gt;"", "Done", "Add")), "")</f>
        <v/>
      </c>
      <c r="E148" s="491" t="s">
        <v>332</v>
      </c>
      <c r="F148" s="487" t="s">
        <v>283</v>
      </c>
      <c r="G148" s="500" t="s">
        <v>572</v>
      </c>
      <c r="H148" s="486" t="str" cm="1">
        <f t="array" ref="H14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8" s="546"/>
      <c r="O148" s="12"/>
      <c r="P148" s="12"/>
      <c r="Q148" s="12"/>
      <c r="R148" s="12"/>
      <c r="S148" s="12"/>
      <c r="T148" s="12"/>
      <c r="U148" s="12"/>
      <c r="V148" s="12"/>
      <c r="W148" s="12"/>
      <c r="X148" s="12"/>
      <c r="Y148" s="12"/>
      <c r="Z148" s="12"/>
      <c r="AA148" s="12"/>
      <c r="AB148" s="12"/>
      <c r="AC148" s="12"/>
    </row>
    <row r="149" spans="1:29" s="19" customFormat="1" ht="25">
      <c r="A149" s="120" t="s">
        <v>286</v>
      </c>
      <c r="B149" s="69" t="str">
        <f t="array" ref="B14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49" s="493"/>
      <c r="D149" s="473" t="str">
        <f>IF(TBL_Q_06_Select_All[[#This Row],[Type]]="Question", IF(OR(TBL_Q_06_Select_All[[#This Row],[Shade?]]="Shade", TBL_Q_06_Select_All[[#This Row],[Question]]="Question not used
"), "", IF(TBL_Q_06_Select_All[[#This Row],[Response]]&lt;&gt;"", "Done", "Add")), "")</f>
        <v/>
      </c>
      <c r="E149" s="491" t="s">
        <v>332</v>
      </c>
      <c r="F149" s="487" t="s">
        <v>283</v>
      </c>
      <c r="G149" s="500" t="s">
        <v>569</v>
      </c>
      <c r="H149" s="486" t="str" cm="1">
        <f t="array" ref="H14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49" s="546"/>
      <c r="O149" s="12"/>
      <c r="P149" s="12"/>
      <c r="Q149" s="12"/>
      <c r="R149" s="12"/>
      <c r="S149" s="12"/>
      <c r="T149" s="12"/>
      <c r="U149" s="12"/>
      <c r="V149" s="12"/>
      <c r="W149" s="12"/>
      <c r="X149" s="12"/>
      <c r="Y149" s="12"/>
      <c r="Z149" s="12"/>
      <c r="AA149" s="12"/>
      <c r="AB149" s="12"/>
      <c r="AC149" s="12"/>
    </row>
    <row r="150" spans="1:29" s="19" customFormat="1" ht="25">
      <c r="A150" s="120" t="s">
        <v>287</v>
      </c>
      <c r="B150" s="69" t="str">
        <f t="array" ref="B15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0" s="493"/>
      <c r="D150" s="473" t="str">
        <f>IF(TBL_Q_06_Select_All[[#This Row],[Type]]="Question", IF(OR(TBL_Q_06_Select_All[[#This Row],[Shade?]]="Shade", TBL_Q_06_Select_All[[#This Row],[Question]]="Question not used
"), "", IF(TBL_Q_06_Select_All[[#This Row],[Response]]&lt;&gt;"", "Done", "Add")), "")</f>
        <v/>
      </c>
      <c r="E150" s="491" t="s">
        <v>332</v>
      </c>
      <c r="F150" s="487" t="s">
        <v>283</v>
      </c>
      <c r="G150" s="500" t="s">
        <v>570</v>
      </c>
      <c r="H150" s="486" t="str" cm="1">
        <f t="array" ref="H15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0" s="546"/>
      <c r="O150" s="12"/>
      <c r="P150" s="12"/>
      <c r="Q150" s="12"/>
      <c r="R150" s="12"/>
      <c r="S150" s="12"/>
      <c r="T150" s="12"/>
      <c r="U150" s="12"/>
      <c r="V150" s="12"/>
      <c r="W150" s="12"/>
      <c r="X150" s="12"/>
      <c r="Y150" s="12"/>
      <c r="Z150" s="12"/>
      <c r="AA150" s="12"/>
      <c r="AB150" s="12"/>
      <c r="AC150" s="12"/>
    </row>
    <row r="151" spans="1:29" s="19" customFormat="1" ht="25">
      <c r="A151" s="120" t="s">
        <v>288</v>
      </c>
      <c r="B151" s="69" t="str">
        <f t="array" ref="B15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1" s="493"/>
      <c r="D151" s="473" t="str">
        <f>IF(TBL_Q_06_Select_All[[#This Row],[Type]]="Question", IF(OR(TBL_Q_06_Select_All[[#This Row],[Shade?]]="Shade", TBL_Q_06_Select_All[[#This Row],[Question]]="Question not used
"), "", IF(TBL_Q_06_Select_All[[#This Row],[Response]]&lt;&gt;"", "Done", "Add")), "")</f>
        <v/>
      </c>
      <c r="E151" s="491" t="s">
        <v>332</v>
      </c>
      <c r="F151" s="487" t="s">
        <v>283</v>
      </c>
      <c r="G151" s="500" t="s">
        <v>571</v>
      </c>
      <c r="H151" s="486" t="str" cm="1">
        <f t="array" ref="H15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1" s="546"/>
      <c r="O151" s="12"/>
      <c r="P151" s="12"/>
      <c r="Q151" s="12"/>
      <c r="R151" s="12"/>
      <c r="S151" s="12"/>
      <c r="T151" s="12"/>
      <c r="U151" s="12"/>
      <c r="V151" s="12"/>
      <c r="W151" s="12"/>
      <c r="X151" s="12"/>
      <c r="Y151" s="12"/>
      <c r="Z151" s="12"/>
      <c r="AA151" s="12"/>
      <c r="AB151" s="12"/>
      <c r="AC151" s="12"/>
    </row>
    <row r="152" spans="1:29" s="19" customFormat="1" ht="25">
      <c r="A152" s="120" t="s">
        <v>289</v>
      </c>
      <c r="B152" s="69" t="str">
        <f t="array" ref="B15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2" s="493"/>
      <c r="D152" s="473" t="str">
        <f>IF(TBL_Q_06_Select_All[[#This Row],[Type]]="Question", IF(OR(TBL_Q_06_Select_All[[#This Row],[Shade?]]="Shade", TBL_Q_06_Select_All[[#This Row],[Question]]="Question not used
"), "", IF(TBL_Q_06_Select_All[[#This Row],[Response]]&lt;&gt;"", "Done", "Add")), "")</f>
        <v/>
      </c>
      <c r="E152" s="491" t="s">
        <v>332</v>
      </c>
      <c r="F152" s="487" t="s">
        <v>283</v>
      </c>
      <c r="G152" s="500" t="s">
        <v>573</v>
      </c>
      <c r="H152" s="486" t="str" cm="1">
        <f t="array" ref="H15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2" s="546"/>
      <c r="O152" s="12"/>
      <c r="P152" s="12"/>
      <c r="Q152" s="12"/>
      <c r="R152" s="12"/>
      <c r="S152" s="12"/>
      <c r="T152" s="12"/>
      <c r="U152" s="12"/>
      <c r="V152" s="12"/>
      <c r="W152" s="12"/>
      <c r="X152" s="12"/>
      <c r="Y152" s="12"/>
      <c r="Z152" s="12"/>
      <c r="AA152" s="12"/>
      <c r="AB152" s="12"/>
      <c r="AC152" s="12"/>
    </row>
    <row r="153" spans="1:29" s="19" customFormat="1" ht="25">
      <c r="A153" s="120" t="s">
        <v>290</v>
      </c>
      <c r="B153" s="69" t="str">
        <f t="array" ref="B15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3" s="493"/>
      <c r="D153" s="473" t="str">
        <f>IF(TBL_Q_06_Select_All[[#This Row],[Type]]="Question", IF(OR(TBL_Q_06_Select_All[[#This Row],[Shade?]]="Shade", TBL_Q_06_Select_All[[#This Row],[Question]]="Question not used
"), "", IF(TBL_Q_06_Select_All[[#This Row],[Response]]&lt;&gt;"", "Done", "Add")), "")</f>
        <v/>
      </c>
      <c r="E153" s="491" t="s">
        <v>332</v>
      </c>
      <c r="F153" s="487" t="s">
        <v>283</v>
      </c>
      <c r="G153" s="475" t="s">
        <v>574</v>
      </c>
      <c r="H153" s="486" t="str" cm="1">
        <f t="array" ref="H15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3" s="546"/>
      <c r="O153" s="12"/>
      <c r="P153" s="12"/>
      <c r="Q153" s="12"/>
      <c r="R153" s="12"/>
      <c r="S153" s="12"/>
      <c r="T153" s="12"/>
      <c r="U153" s="12"/>
      <c r="V153" s="12"/>
      <c r="W153" s="12"/>
      <c r="X153" s="12"/>
      <c r="Y153" s="12"/>
      <c r="Z153" s="12"/>
      <c r="AA153" s="12"/>
      <c r="AB153" s="12"/>
      <c r="AC153" s="12"/>
    </row>
    <row r="154" spans="1:29" s="19" customFormat="1" ht="25">
      <c r="A154" s="120" t="s">
        <v>291</v>
      </c>
      <c r="B154" s="69" t="str">
        <f t="array" ref="B15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4" s="493"/>
      <c r="D154" s="473" t="str">
        <f>IF(TBL_Q_06_Select_All[[#This Row],[Type]]="Question", IF(OR(TBL_Q_06_Select_All[[#This Row],[Shade?]]="Shade", TBL_Q_06_Select_All[[#This Row],[Question]]="Question not used
"), "", IF(TBL_Q_06_Select_All[[#This Row],[Response]]&lt;&gt;"", "Done", "Add")), "")</f>
        <v/>
      </c>
      <c r="E154" s="491" t="s">
        <v>332</v>
      </c>
      <c r="F154" s="487" t="s">
        <v>283</v>
      </c>
      <c r="G154" s="475" t="s">
        <v>575</v>
      </c>
      <c r="H154" s="486" t="str" cm="1">
        <f t="array" ref="H15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4" s="546"/>
      <c r="O154" s="12"/>
      <c r="P154" s="12"/>
      <c r="Q154" s="12"/>
      <c r="R154" s="12"/>
      <c r="S154" s="12"/>
      <c r="T154" s="12"/>
      <c r="U154" s="12"/>
      <c r="V154" s="12"/>
      <c r="W154" s="12"/>
      <c r="X154" s="12"/>
      <c r="Y154" s="12"/>
      <c r="Z154" s="12"/>
      <c r="AA154" s="12"/>
      <c r="AB154" s="12"/>
      <c r="AC154" s="12"/>
    </row>
    <row r="155" spans="1:29" s="19" customFormat="1" ht="25">
      <c r="A155" s="120" t="s">
        <v>292</v>
      </c>
      <c r="B155" s="69" t="str">
        <f t="array" ref="B15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5" s="493"/>
      <c r="D155" s="473" t="str">
        <f>IF(TBL_Q_06_Select_All[[#This Row],[Type]]="Question", IF(OR(TBL_Q_06_Select_All[[#This Row],[Shade?]]="Shade", TBL_Q_06_Select_All[[#This Row],[Question]]="Question not used
"), "", IF(TBL_Q_06_Select_All[[#This Row],[Response]]&lt;&gt;"", "Done", "Add")), "")</f>
        <v/>
      </c>
      <c r="E155" s="491" t="s">
        <v>332</v>
      </c>
      <c r="F155" s="487" t="s">
        <v>283</v>
      </c>
      <c r="G155" s="475" t="s">
        <v>576</v>
      </c>
      <c r="H155" s="486" t="str" cm="1">
        <f t="array" ref="H15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5" s="546"/>
      <c r="O155" s="12"/>
      <c r="P155" s="12"/>
      <c r="Q155" s="12"/>
      <c r="R155" s="12"/>
      <c r="S155" s="12"/>
      <c r="T155" s="12"/>
      <c r="U155" s="12"/>
      <c r="V155" s="12"/>
      <c r="W155" s="12"/>
      <c r="X155" s="12"/>
      <c r="Y155" s="12"/>
      <c r="Z155" s="12"/>
      <c r="AA155" s="12"/>
      <c r="AB155" s="12"/>
      <c r="AC155" s="12"/>
    </row>
    <row r="156" spans="1:29" s="19" customFormat="1" ht="25">
      <c r="A156" s="482" t="s">
        <v>293</v>
      </c>
      <c r="B156" s="498" t="str">
        <f t="array" ref="B15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6" s="499"/>
      <c r="D156" s="473" t="str">
        <f>IF(TBL_Q_06_Select_All[[#This Row],[Type]]="Question", IF(OR(TBL_Q_06_Select_All[[#This Row],[Shade?]]="Shade", TBL_Q_06_Select_All[[#This Row],[Question]]="Question not used
"), "", IF(TBL_Q_06_Select_All[[#This Row],[Response]]&lt;&gt;"", "Done", "Add")), "")</f>
        <v/>
      </c>
      <c r="E156" s="491" t="s">
        <v>332</v>
      </c>
      <c r="F156" s="487" t="s">
        <v>283</v>
      </c>
      <c r="G156" s="485" t="s">
        <v>577</v>
      </c>
      <c r="H156" s="486" t="str" cm="1">
        <f t="array" ref="H15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6" s="546"/>
      <c r="O156" s="12"/>
      <c r="P156" s="12"/>
      <c r="Q156" s="12"/>
      <c r="R156" s="12"/>
      <c r="S156" s="12"/>
      <c r="T156" s="12"/>
      <c r="U156" s="12"/>
      <c r="V156" s="12"/>
      <c r="W156" s="12"/>
      <c r="X156" s="12"/>
      <c r="Y156" s="12"/>
      <c r="Z156" s="12"/>
      <c r="AA156" s="12"/>
      <c r="AB156" s="12"/>
      <c r="AC156" s="12"/>
    </row>
    <row r="157" spans="1:29" s="19" customFormat="1" ht="26">
      <c r="A157" s="73" t="s">
        <v>294</v>
      </c>
      <c r="B157" s="68" t="str">
        <f t="array" ref="B15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7" s="473"/>
      <c r="D157" s="473" t="str">
        <f>IF(TBL_Q_06_Select_All[[#This Row],[Type]]="Question", IF(OR(TBL_Q_06_Select_All[[#This Row],[Shade?]]="Shade", TBL_Q_06_Select_All[[#This Row],[Question]]="Question not used
"), "", IF(TBL_Q_06_Select_All[[#This Row],[Response]]&lt;&gt;"", "Done", "Add")), "")</f>
        <v/>
      </c>
      <c r="E157" s="491" t="s">
        <v>146</v>
      </c>
      <c r="F157" s="487" t="s">
        <v>294</v>
      </c>
      <c r="G157" s="500" t="s">
        <v>24</v>
      </c>
      <c r="H157" s="486" t="str" cm="1">
        <f t="array" ref="H15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7" s="546"/>
      <c r="O157" s="12"/>
      <c r="P157" s="12"/>
      <c r="Q157" s="12"/>
      <c r="R157" s="12"/>
      <c r="S157" s="12"/>
      <c r="T157" s="12"/>
      <c r="U157" s="12"/>
      <c r="V157" s="12"/>
      <c r="W157" s="12"/>
      <c r="X157" s="12"/>
      <c r="Y157" s="12"/>
      <c r="Z157" s="12"/>
      <c r="AA157" s="12"/>
      <c r="AB157" s="12"/>
      <c r="AC157" s="12"/>
    </row>
    <row r="158" spans="1:29" s="19" customFormat="1" ht="26">
      <c r="A158" s="74" t="s">
        <v>294</v>
      </c>
      <c r="B158" s="69" t="str">
        <f t="array" ref="B15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8" s="497"/>
      <c r="D158" s="473" t="str">
        <f>IF(TBL_Q_06_Select_All[[#This Row],[Type]]="Question", IF(OR(TBL_Q_06_Select_All[[#This Row],[Shade?]]="Shade", TBL_Q_06_Select_All[[#This Row],[Question]]="Question not used
"), "", IF(TBL_Q_06_Select_All[[#This Row],[Response]]&lt;&gt;"", "Done", "Add")), "")</f>
        <v/>
      </c>
      <c r="E158" s="491" t="s">
        <v>348</v>
      </c>
      <c r="F158" s="487" t="s">
        <v>294</v>
      </c>
      <c r="G158" s="500" t="s">
        <v>24</v>
      </c>
      <c r="H158" s="486" t="str" cm="1">
        <f t="array" ref="H15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8" s="546"/>
      <c r="O158" s="12"/>
      <c r="P158" s="12"/>
      <c r="Q158" s="12"/>
      <c r="R158" s="12"/>
      <c r="S158" s="12"/>
      <c r="T158" s="12"/>
      <c r="U158" s="12"/>
      <c r="V158" s="12"/>
      <c r="W158" s="12"/>
      <c r="X158" s="12"/>
      <c r="Y158" s="12"/>
      <c r="Z158" s="12"/>
      <c r="AA158" s="12"/>
      <c r="AB158" s="12"/>
      <c r="AC158" s="12"/>
    </row>
    <row r="159" spans="1:29" s="19" customFormat="1" ht="25">
      <c r="A159" s="120" t="s">
        <v>295</v>
      </c>
      <c r="B159" s="69" t="str">
        <f t="array" ref="B15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59" s="493"/>
      <c r="D159" s="473" t="str">
        <f>IF(TBL_Q_06_Select_All[[#This Row],[Type]]="Question", IF(OR(TBL_Q_06_Select_All[[#This Row],[Shade?]]="Shade", TBL_Q_06_Select_All[[#This Row],[Question]]="Question not used
"), "", IF(TBL_Q_06_Select_All[[#This Row],[Response]]&lt;&gt;"", "Done", "Add")), "")</f>
        <v/>
      </c>
      <c r="E159" s="491" t="s">
        <v>332</v>
      </c>
      <c r="F159" s="487" t="s">
        <v>294</v>
      </c>
      <c r="G159" s="500" t="s">
        <v>568</v>
      </c>
      <c r="H159" s="486" t="str" cm="1">
        <f t="array" ref="H15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59" s="546"/>
      <c r="O159" s="12"/>
      <c r="P159" s="12"/>
      <c r="Q159" s="12"/>
      <c r="R159" s="12"/>
      <c r="S159" s="12"/>
      <c r="T159" s="12"/>
      <c r="U159" s="12"/>
      <c r="V159" s="12"/>
      <c r="W159" s="12"/>
      <c r="X159" s="12"/>
      <c r="Y159" s="12"/>
      <c r="Z159" s="12"/>
      <c r="AA159" s="12"/>
      <c r="AB159" s="12"/>
      <c r="AC159" s="12"/>
    </row>
    <row r="160" spans="1:29" s="19" customFormat="1" ht="25">
      <c r="A160" s="120" t="s">
        <v>296</v>
      </c>
      <c r="B160" s="69" t="str">
        <f t="array" ref="B16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0" s="493"/>
      <c r="D160" s="473" t="str">
        <f>IF(TBL_Q_06_Select_All[[#This Row],[Type]]="Question", IF(OR(TBL_Q_06_Select_All[[#This Row],[Shade?]]="Shade", TBL_Q_06_Select_All[[#This Row],[Question]]="Question not used
"), "", IF(TBL_Q_06_Select_All[[#This Row],[Response]]&lt;&gt;"", "Done", "Add")), "")</f>
        <v/>
      </c>
      <c r="E160" s="491" t="s">
        <v>332</v>
      </c>
      <c r="F160" s="487" t="s">
        <v>294</v>
      </c>
      <c r="G160" s="500" t="s">
        <v>572</v>
      </c>
      <c r="H160" s="486" t="str" cm="1">
        <f t="array" ref="H16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0" s="546"/>
      <c r="O160" s="12"/>
      <c r="P160" s="12"/>
      <c r="Q160" s="12"/>
      <c r="R160" s="12"/>
      <c r="S160" s="12"/>
      <c r="T160" s="12"/>
      <c r="U160" s="12"/>
      <c r="V160" s="12"/>
      <c r="W160" s="12"/>
      <c r="X160" s="12"/>
      <c r="Y160" s="12"/>
      <c r="Z160" s="12"/>
      <c r="AA160" s="12"/>
      <c r="AB160" s="12"/>
      <c r="AC160" s="12"/>
    </row>
    <row r="161" spans="1:29" s="19" customFormat="1" ht="25">
      <c r="A161" s="120" t="s">
        <v>297</v>
      </c>
      <c r="B161" s="69" t="str">
        <f t="array" ref="B16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1" s="493"/>
      <c r="D161" s="473" t="str">
        <f>IF(TBL_Q_06_Select_All[[#This Row],[Type]]="Question", IF(OR(TBL_Q_06_Select_All[[#This Row],[Shade?]]="Shade", TBL_Q_06_Select_All[[#This Row],[Question]]="Question not used
"), "", IF(TBL_Q_06_Select_All[[#This Row],[Response]]&lt;&gt;"", "Done", "Add")), "")</f>
        <v/>
      </c>
      <c r="E161" s="491" t="s">
        <v>332</v>
      </c>
      <c r="F161" s="487" t="s">
        <v>294</v>
      </c>
      <c r="G161" s="500" t="s">
        <v>569</v>
      </c>
      <c r="H161" s="486" t="str" cm="1">
        <f t="array" ref="H16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1" s="546"/>
      <c r="O161" s="12"/>
      <c r="P161" s="12"/>
      <c r="Q161" s="12"/>
      <c r="R161" s="12"/>
      <c r="S161" s="12"/>
      <c r="T161" s="12"/>
      <c r="U161" s="12"/>
      <c r="V161" s="12"/>
      <c r="W161" s="12"/>
      <c r="X161" s="12"/>
      <c r="Y161" s="12"/>
      <c r="Z161" s="12"/>
      <c r="AA161" s="12"/>
      <c r="AB161" s="12"/>
      <c r="AC161" s="12"/>
    </row>
    <row r="162" spans="1:29" s="19" customFormat="1" ht="25">
      <c r="A162" s="120" t="s">
        <v>298</v>
      </c>
      <c r="B162" s="69" t="str">
        <f t="array" ref="B16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2" s="493"/>
      <c r="D162" s="473" t="str">
        <f>IF(TBL_Q_06_Select_All[[#This Row],[Type]]="Question", IF(OR(TBL_Q_06_Select_All[[#This Row],[Shade?]]="Shade", TBL_Q_06_Select_All[[#This Row],[Question]]="Question not used
"), "", IF(TBL_Q_06_Select_All[[#This Row],[Response]]&lt;&gt;"", "Done", "Add")), "")</f>
        <v/>
      </c>
      <c r="E162" s="491" t="s">
        <v>332</v>
      </c>
      <c r="F162" s="487" t="s">
        <v>294</v>
      </c>
      <c r="G162" s="500" t="s">
        <v>570</v>
      </c>
      <c r="H162" s="486" t="str" cm="1">
        <f t="array" ref="H16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2" s="546"/>
      <c r="O162" s="12"/>
      <c r="P162" s="12"/>
      <c r="Q162" s="12"/>
      <c r="R162" s="12"/>
      <c r="S162" s="12"/>
      <c r="T162" s="12"/>
      <c r="U162" s="12"/>
      <c r="V162" s="12"/>
      <c r="W162" s="12"/>
      <c r="X162" s="12"/>
      <c r="Y162" s="12"/>
      <c r="Z162" s="12"/>
      <c r="AA162" s="12"/>
      <c r="AB162" s="12"/>
      <c r="AC162" s="12"/>
    </row>
    <row r="163" spans="1:29" s="19" customFormat="1" ht="25">
      <c r="A163" s="120" t="s">
        <v>299</v>
      </c>
      <c r="B163" s="69" t="str">
        <f t="array" ref="B16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3" s="493"/>
      <c r="D163" s="473" t="str">
        <f>IF(TBL_Q_06_Select_All[[#This Row],[Type]]="Question", IF(OR(TBL_Q_06_Select_All[[#This Row],[Shade?]]="Shade", TBL_Q_06_Select_All[[#This Row],[Question]]="Question not used
"), "", IF(TBL_Q_06_Select_All[[#This Row],[Response]]&lt;&gt;"", "Done", "Add")), "")</f>
        <v/>
      </c>
      <c r="E163" s="491" t="s">
        <v>332</v>
      </c>
      <c r="F163" s="487" t="s">
        <v>294</v>
      </c>
      <c r="G163" s="500" t="s">
        <v>571</v>
      </c>
      <c r="H163" s="486" t="str" cm="1">
        <f t="array" ref="H16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3" s="546"/>
      <c r="O163" s="12"/>
      <c r="P163" s="12"/>
      <c r="Q163" s="12"/>
      <c r="R163" s="12"/>
      <c r="S163" s="12"/>
      <c r="T163" s="12"/>
      <c r="U163" s="12"/>
      <c r="V163" s="12"/>
      <c r="W163" s="12"/>
      <c r="X163" s="12"/>
      <c r="Y163" s="12"/>
      <c r="Z163" s="12"/>
      <c r="AA163" s="12"/>
      <c r="AB163" s="12"/>
      <c r="AC163" s="12"/>
    </row>
    <row r="164" spans="1:29" s="19" customFormat="1" ht="25">
      <c r="A164" s="120" t="s">
        <v>300</v>
      </c>
      <c r="B164" s="69" t="str">
        <f t="array" ref="B16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4" s="493"/>
      <c r="D164" s="473" t="str">
        <f>IF(TBL_Q_06_Select_All[[#This Row],[Type]]="Question", IF(OR(TBL_Q_06_Select_All[[#This Row],[Shade?]]="Shade", TBL_Q_06_Select_All[[#This Row],[Question]]="Question not used
"), "", IF(TBL_Q_06_Select_All[[#This Row],[Response]]&lt;&gt;"", "Done", "Add")), "")</f>
        <v/>
      </c>
      <c r="E164" s="491" t="s">
        <v>332</v>
      </c>
      <c r="F164" s="487" t="s">
        <v>294</v>
      </c>
      <c r="G164" s="500" t="s">
        <v>573</v>
      </c>
      <c r="H164" s="486" t="str" cm="1">
        <f t="array" ref="H16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4" s="546"/>
      <c r="O164" s="12"/>
      <c r="P164" s="12"/>
      <c r="Q164" s="12"/>
      <c r="R164" s="12"/>
      <c r="S164" s="12"/>
      <c r="T164" s="12"/>
      <c r="U164" s="12"/>
      <c r="V164" s="12"/>
      <c r="W164" s="12"/>
      <c r="X164" s="12"/>
      <c r="Y164" s="12"/>
      <c r="Z164" s="12"/>
      <c r="AA164" s="12"/>
      <c r="AB164" s="12"/>
      <c r="AC164" s="12"/>
    </row>
    <row r="165" spans="1:29" s="19" customFormat="1" ht="25">
      <c r="A165" s="120" t="s">
        <v>301</v>
      </c>
      <c r="B165" s="69" t="str">
        <f t="array" ref="B16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5" s="493"/>
      <c r="D165" s="473" t="str">
        <f>IF(TBL_Q_06_Select_All[[#This Row],[Type]]="Question", IF(OR(TBL_Q_06_Select_All[[#This Row],[Shade?]]="Shade", TBL_Q_06_Select_All[[#This Row],[Question]]="Question not used
"), "", IF(TBL_Q_06_Select_All[[#This Row],[Response]]&lt;&gt;"", "Done", "Add")), "")</f>
        <v/>
      </c>
      <c r="E165" s="491" t="s">
        <v>332</v>
      </c>
      <c r="F165" s="487" t="s">
        <v>294</v>
      </c>
      <c r="G165" s="475" t="s">
        <v>574</v>
      </c>
      <c r="H165" s="486" t="str" cm="1">
        <f t="array" ref="H16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5" s="546"/>
      <c r="O165" s="12"/>
      <c r="P165" s="12"/>
      <c r="Q165" s="12"/>
      <c r="R165" s="12"/>
      <c r="S165" s="12"/>
      <c r="T165" s="12"/>
      <c r="U165" s="12"/>
      <c r="V165" s="12"/>
      <c r="W165" s="12"/>
      <c r="X165" s="12"/>
      <c r="Y165" s="12"/>
      <c r="Z165" s="12"/>
      <c r="AA165" s="12"/>
      <c r="AB165" s="12"/>
      <c r="AC165" s="12"/>
    </row>
    <row r="166" spans="1:29" s="19" customFormat="1" ht="25">
      <c r="A166" s="120" t="s">
        <v>302</v>
      </c>
      <c r="B166" s="69" t="str">
        <f t="array" ref="B16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6" s="493"/>
      <c r="D166" s="473" t="str">
        <f>IF(TBL_Q_06_Select_All[[#This Row],[Type]]="Question", IF(OR(TBL_Q_06_Select_All[[#This Row],[Shade?]]="Shade", TBL_Q_06_Select_All[[#This Row],[Question]]="Question not used
"), "", IF(TBL_Q_06_Select_All[[#This Row],[Response]]&lt;&gt;"", "Done", "Add")), "")</f>
        <v/>
      </c>
      <c r="E166" s="491" t="s">
        <v>332</v>
      </c>
      <c r="F166" s="487" t="s">
        <v>294</v>
      </c>
      <c r="G166" s="475" t="s">
        <v>575</v>
      </c>
      <c r="H166" s="486" t="str" cm="1">
        <f t="array" ref="H16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6" s="546"/>
      <c r="O166" s="12"/>
      <c r="P166" s="12"/>
      <c r="Q166" s="12"/>
      <c r="R166" s="12"/>
      <c r="S166" s="12"/>
      <c r="T166" s="12"/>
      <c r="U166" s="12"/>
      <c r="V166" s="12"/>
      <c r="W166" s="12"/>
      <c r="X166" s="12"/>
      <c r="Y166" s="12"/>
      <c r="Z166" s="12"/>
      <c r="AA166" s="12"/>
      <c r="AB166" s="12"/>
      <c r="AC166" s="12"/>
    </row>
    <row r="167" spans="1:29" s="19" customFormat="1" ht="25">
      <c r="A167" s="120" t="s">
        <v>303</v>
      </c>
      <c r="B167" s="69" t="str">
        <f t="array" ref="B16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7" s="493"/>
      <c r="D167" s="473" t="str">
        <f>IF(TBL_Q_06_Select_All[[#This Row],[Type]]="Question", IF(OR(TBL_Q_06_Select_All[[#This Row],[Shade?]]="Shade", TBL_Q_06_Select_All[[#This Row],[Question]]="Question not used
"), "", IF(TBL_Q_06_Select_All[[#This Row],[Response]]&lt;&gt;"", "Done", "Add")), "")</f>
        <v/>
      </c>
      <c r="E167" s="491" t="s">
        <v>332</v>
      </c>
      <c r="F167" s="487" t="s">
        <v>294</v>
      </c>
      <c r="G167" s="475" t="s">
        <v>576</v>
      </c>
      <c r="H167" s="486" t="str" cm="1">
        <f t="array" ref="H16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7" s="546"/>
      <c r="O167" s="12"/>
      <c r="P167" s="12"/>
      <c r="Q167" s="12"/>
      <c r="R167" s="12"/>
      <c r="S167" s="12"/>
      <c r="T167" s="12"/>
      <c r="U167" s="12"/>
      <c r="V167" s="12"/>
      <c r="W167" s="12"/>
      <c r="X167" s="12"/>
      <c r="Y167" s="12"/>
      <c r="Z167" s="12"/>
      <c r="AA167" s="12"/>
      <c r="AB167" s="12"/>
      <c r="AC167" s="12"/>
    </row>
    <row r="168" spans="1:29" s="19" customFormat="1" ht="25">
      <c r="A168" s="482" t="s">
        <v>304</v>
      </c>
      <c r="B168" s="498" t="str">
        <f t="array" ref="B16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8" s="499"/>
      <c r="D168" s="473" t="str">
        <f>IF(TBL_Q_06_Select_All[[#This Row],[Type]]="Question", IF(OR(TBL_Q_06_Select_All[[#This Row],[Shade?]]="Shade", TBL_Q_06_Select_All[[#This Row],[Question]]="Question not used
"), "", IF(TBL_Q_06_Select_All[[#This Row],[Response]]&lt;&gt;"", "Done", "Add")), "")</f>
        <v/>
      </c>
      <c r="E168" s="491" t="s">
        <v>332</v>
      </c>
      <c r="F168" s="487" t="s">
        <v>294</v>
      </c>
      <c r="G168" s="485" t="s">
        <v>577</v>
      </c>
      <c r="H168" s="486" t="str" cm="1">
        <f t="array" ref="H16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8" s="546"/>
      <c r="O168" s="12"/>
      <c r="P168" s="12"/>
      <c r="Q168" s="12"/>
      <c r="R168" s="12"/>
      <c r="S168" s="12"/>
      <c r="T168" s="12"/>
      <c r="U168" s="12"/>
      <c r="V168" s="12"/>
      <c r="W168" s="12"/>
      <c r="X168" s="12"/>
      <c r="Y168" s="12"/>
      <c r="Z168" s="12"/>
      <c r="AA168" s="12"/>
      <c r="AB168" s="12"/>
      <c r="AC168" s="12"/>
    </row>
    <row r="169" spans="1:29" s="19" customFormat="1" ht="26">
      <c r="A169" s="73" t="s">
        <v>305</v>
      </c>
      <c r="B169" s="68" t="str">
        <f t="array" ref="B16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69" s="473"/>
      <c r="D169" s="473" t="str">
        <f>IF(TBL_Q_06_Select_All[[#This Row],[Type]]="Question", IF(OR(TBL_Q_06_Select_All[[#This Row],[Shade?]]="Shade", TBL_Q_06_Select_All[[#This Row],[Question]]="Question not used
"), "", IF(TBL_Q_06_Select_All[[#This Row],[Response]]&lt;&gt;"", "Done", "Add")), "")</f>
        <v/>
      </c>
      <c r="E169" s="491" t="s">
        <v>146</v>
      </c>
      <c r="F169" s="487" t="s">
        <v>305</v>
      </c>
      <c r="G169" s="500" t="s">
        <v>24</v>
      </c>
      <c r="H169" s="486" t="str" cm="1">
        <f t="array" ref="H16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69" s="546"/>
      <c r="O169" s="12"/>
      <c r="P169" s="12"/>
      <c r="Q169" s="12"/>
      <c r="R169" s="12"/>
      <c r="S169" s="12"/>
      <c r="T169" s="12"/>
      <c r="U169" s="12"/>
      <c r="V169" s="12"/>
      <c r="W169" s="12"/>
      <c r="X169" s="12"/>
      <c r="Y169" s="12"/>
      <c r="Z169" s="12"/>
      <c r="AA169" s="12"/>
      <c r="AB169" s="12"/>
      <c r="AC169" s="12"/>
    </row>
    <row r="170" spans="1:29" s="19" customFormat="1" ht="26">
      <c r="A170" s="74" t="s">
        <v>305</v>
      </c>
      <c r="B170" s="69" t="str">
        <f t="array" ref="B17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0" s="497"/>
      <c r="D170" s="473" t="str">
        <f>IF(TBL_Q_06_Select_All[[#This Row],[Type]]="Question", IF(OR(TBL_Q_06_Select_All[[#This Row],[Shade?]]="Shade", TBL_Q_06_Select_All[[#This Row],[Question]]="Question not used
"), "", IF(TBL_Q_06_Select_All[[#This Row],[Response]]&lt;&gt;"", "Done", "Add")), "")</f>
        <v/>
      </c>
      <c r="E170" s="491" t="s">
        <v>348</v>
      </c>
      <c r="F170" s="487" t="s">
        <v>305</v>
      </c>
      <c r="G170" s="500" t="s">
        <v>24</v>
      </c>
      <c r="H170" s="486" t="str" cm="1">
        <f t="array" ref="H17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0" s="546"/>
      <c r="O170" s="12"/>
      <c r="P170" s="12"/>
      <c r="Q170" s="12"/>
      <c r="R170" s="12"/>
      <c r="S170" s="12"/>
      <c r="T170" s="12"/>
      <c r="U170" s="12"/>
      <c r="V170" s="12"/>
      <c r="W170" s="12"/>
      <c r="X170" s="12"/>
      <c r="Y170" s="12"/>
      <c r="Z170" s="12"/>
      <c r="AA170" s="12"/>
      <c r="AB170" s="12"/>
      <c r="AC170" s="12"/>
    </row>
    <row r="171" spans="1:29" s="19" customFormat="1" ht="25">
      <c r="A171" s="120" t="s">
        <v>306</v>
      </c>
      <c r="B171" s="69" t="str">
        <f t="array" ref="B171">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1" s="493"/>
      <c r="D171" s="473" t="str">
        <f>IF(TBL_Q_06_Select_All[[#This Row],[Type]]="Question", IF(OR(TBL_Q_06_Select_All[[#This Row],[Shade?]]="Shade", TBL_Q_06_Select_All[[#This Row],[Question]]="Question not used
"), "", IF(TBL_Q_06_Select_All[[#This Row],[Response]]&lt;&gt;"", "Done", "Add")), "")</f>
        <v/>
      </c>
      <c r="E171" s="491" t="s">
        <v>332</v>
      </c>
      <c r="F171" s="487" t="s">
        <v>305</v>
      </c>
      <c r="G171" s="500" t="s">
        <v>568</v>
      </c>
      <c r="H171" s="486" t="str" cm="1">
        <f t="array" ref="H171">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1" s="546"/>
      <c r="O171" s="12"/>
      <c r="P171" s="12"/>
      <c r="Q171" s="12"/>
      <c r="R171" s="12"/>
      <c r="S171" s="12"/>
      <c r="T171" s="12"/>
      <c r="U171" s="12"/>
      <c r="V171" s="12"/>
      <c r="W171" s="12"/>
      <c r="X171" s="12"/>
      <c r="Y171" s="12"/>
      <c r="Z171" s="12"/>
      <c r="AA171" s="12"/>
      <c r="AB171" s="12"/>
      <c r="AC171" s="12"/>
    </row>
    <row r="172" spans="1:29" s="19" customFormat="1" ht="25">
      <c r="A172" s="120" t="s">
        <v>307</v>
      </c>
      <c r="B172" s="69" t="str">
        <f t="array" ref="B172">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2" s="493"/>
      <c r="D172" s="473" t="str">
        <f>IF(TBL_Q_06_Select_All[[#This Row],[Type]]="Question", IF(OR(TBL_Q_06_Select_All[[#This Row],[Shade?]]="Shade", TBL_Q_06_Select_All[[#This Row],[Question]]="Question not used
"), "", IF(TBL_Q_06_Select_All[[#This Row],[Response]]&lt;&gt;"", "Done", "Add")), "")</f>
        <v/>
      </c>
      <c r="E172" s="491" t="s">
        <v>332</v>
      </c>
      <c r="F172" s="487" t="s">
        <v>305</v>
      </c>
      <c r="G172" s="500" t="s">
        <v>572</v>
      </c>
      <c r="H172" s="486" t="str" cm="1">
        <f t="array" ref="H172">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2" s="546"/>
      <c r="O172" s="12"/>
      <c r="P172" s="12"/>
      <c r="Q172" s="12"/>
      <c r="R172" s="12"/>
      <c r="S172" s="12"/>
      <c r="T172" s="12"/>
      <c r="U172" s="12"/>
      <c r="V172" s="12"/>
      <c r="W172" s="12"/>
      <c r="X172" s="12"/>
      <c r="Y172" s="12"/>
      <c r="Z172" s="12"/>
      <c r="AA172" s="12"/>
      <c r="AB172" s="12"/>
      <c r="AC172" s="12"/>
    </row>
    <row r="173" spans="1:29" s="19" customFormat="1" ht="25">
      <c r="A173" s="120" t="s">
        <v>308</v>
      </c>
      <c r="B173" s="69" t="str">
        <f t="array" ref="B173">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3" s="493"/>
      <c r="D173" s="473" t="str">
        <f>IF(TBL_Q_06_Select_All[[#This Row],[Type]]="Question", IF(OR(TBL_Q_06_Select_All[[#This Row],[Shade?]]="Shade", TBL_Q_06_Select_All[[#This Row],[Question]]="Question not used
"), "", IF(TBL_Q_06_Select_All[[#This Row],[Response]]&lt;&gt;"", "Done", "Add")), "")</f>
        <v/>
      </c>
      <c r="E173" s="491" t="s">
        <v>332</v>
      </c>
      <c r="F173" s="487" t="s">
        <v>305</v>
      </c>
      <c r="G173" s="500" t="s">
        <v>569</v>
      </c>
      <c r="H173" s="486" t="str" cm="1">
        <f t="array" ref="H173">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3" s="546"/>
      <c r="O173" s="12"/>
      <c r="P173" s="12"/>
      <c r="Q173" s="12"/>
      <c r="R173" s="12"/>
      <c r="S173" s="12"/>
      <c r="T173" s="12"/>
      <c r="U173" s="12"/>
      <c r="V173" s="12"/>
      <c r="W173" s="12"/>
      <c r="X173" s="12"/>
      <c r="Y173" s="12"/>
      <c r="Z173" s="12"/>
      <c r="AA173" s="12"/>
      <c r="AB173" s="12"/>
      <c r="AC173" s="12"/>
    </row>
    <row r="174" spans="1:29" s="19" customFormat="1" ht="25">
      <c r="A174" s="120" t="s">
        <v>309</v>
      </c>
      <c r="B174" s="69" t="str">
        <f t="array" ref="B174">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4" s="493"/>
      <c r="D174" s="473" t="str">
        <f>IF(TBL_Q_06_Select_All[[#This Row],[Type]]="Question", IF(OR(TBL_Q_06_Select_All[[#This Row],[Shade?]]="Shade", TBL_Q_06_Select_All[[#This Row],[Question]]="Question not used
"), "", IF(TBL_Q_06_Select_All[[#This Row],[Response]]&lt;&gt;"", "Done", "Add")), "")</f>
        <v/>
      </c>
      <c r="E174" s="491" t="s">
        <v>332</v>
      </c>
      <c r="F174" s="487" t="s">
        <v>305</v>
      </c>
      <c r="G174" s="500" t="s">
        <v>570</v>
      </c>
      <c r="H174" s="486" t="str" cm="1">
        <f t="array" ref="H174">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4" s="546"/>
      <c r="O174" s="12"/>
      <c r="P174" s="12"/>
      <c r="Q174" s="12"/>
      <c r="R174" s="12"/>
      <c r="S174" s="12"/>
      <c r="T174" s="12"/>
      <c r="U174" s="12"/>
      <c r="V174" s="12"/>
      <c r="W174" s="12"/>
      <c r="X174" s="12"/>
      <c r="Y174" s="12"/>
      <c r="Z174" s="12"/>
      <c r="AA174" s="12"/>
      <c r="AB174" s="12"/>
      <c r="AC174" s="12"/>
    </row>
    <row r="175" spans="1:29" s="19" customFormat="1" ht="25">
      <c r="A175" s="120" t="s">
        <v>310</v>
      </c>
      <c r="B175" s="69" t="str">
        <f t="array" ref="B175">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5" s="493"/>
      <c r="D175" s="473" t="str">
        <f>IF(TBL_Q_06_Select_All[[#This Row],[Type]]="Question", IF(OR(TBL_Q_06_Select_All[[#This Row],[Shade?]]="Shade", TBL_Q_06_Select_All[[#This Row],[Question]]="Question not used
"), "", IF(TBL_Q_06_Select_All[[#This Row],[Response]]&lt;&gt;"", "Done", "Add")), "")</f>
        <v/>
      </c>
      <c r="E175" s="491" t="s">
        <v>332</v>
      </c>
      <c r="F175" s="487" t="s">
        <v>305</v>
      </c>
      <c r="G175" s="500" t="s">
        <v>571</v>
      </c>
      <c r="H175" s="486" t="str" cm="1">
        <f t="array" ref="H175">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5" s="546"/>
      <c r="O175" s="12"/>
      <c r="P175" s="12"/>
      <c r="Q175" s="12"/>
      <c r="R175" s="12"/>
      <c r="S175" s="12"/>
      <c r="T175" s="12"/>
      <c r="U175" s="12"/>
      <c r="V175" s="12"/>
      <c r="W175" s="12"/>
      <c r="X175" s="12"/>
      <c r="Y175" s="12"/>
      <c r="Z175" s="12"/>
      <c r="AA175" s="12"/>
      <c r="AB175" s="12"/>
      <c r="AC175" s="12"/>
    </row>
    <row r="176" spans="1:29" s="19" customFormat="1" ht="25">
      <c r="A176" s="120" t="s">
        <v>311</v>
      </c>
      <c r="B176" s="69" t="str">
        <f t="array" ref="B176">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6" s="493"/>
      <c r="D176" s="473" t="str">
        <f>IF(TBL_Q_06_Select_All[[#This Row],[Type]]="Question", IF(OR(TBL_Q_06_Select_All[[#This Row],[Shade?]]="Shade", TBL_Q_06_Select_All[[#This Row],[Question]]="Question not used
"), "", IF(TBL_Q_06_Select_All[[#This Row],[Response]]&lt;&gt;"", "Done", "Add")), "")</f>
        <v/>
      </c>
      <c r="E176" s="491" t="s">
        <v>332</v>
      </c>
      <c r="F176" s="487" t="s">
        <v>305</v>
      </c>
      <c r="G176" s="500" t="s">
        <v>573</v>
      </c>
      <c r="H176" s="486" t="str" cm="1">
        <f t="array" ref="H176">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6" s="546"/>
      <c r="O176" s="12"/>
      <c r="P176" s="12"/>
      <c r="Q176" s="12"/>
      <c r="R176" s="12"/>
      <c r="S176" s="12"/>
      <c r="T176" s="12"/>
      <c r="U176" s="12"/>
      <c r="V176" s="12"/>
      <c r="W176" s="12"/>
      <c r="X176" s="12"/>
      <c r="Y176" s="12"/>
      <c r="Z176" s="12"/>
      <c r="AA176" s="12"/>
      <c r="AB176" s="12"/>
      <c r="AC176" s="12"/>
    </row>
    <row r="177" spans="1:29" s="19" customFormat="1" ht="25">
      <c r="A177" s="120" t="s">
        <v>312</v>
      </c>
      <c r="B177" s="69" t="str">
        <f t="array" ref="B177">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7" s="493"/>
      <c r="D177" s="473" t="str">
        <f>IF(TBL_Q_06_Select_All[[#This Row],[Type]]="Question", IF(OR(TBL_Q_06_Select_All[[#This Row],[Shade?]]="Shade", TBL_Q_06_Select_All[[#This Row],[Question]]="Question not used
"), "", IF(TBL_Q_06_Select_All[[#This Row],[Response]]&lt;&gt;"", "Done", "Add")), "")</f>
        <v/>
      </c>
      <c r="E177" s="491" t="s">
        <v>332</v>
      </c>
      <c r="F177" s="487" t="s">
        <v>305</v>
      </c>
      <c r="G177" s="475" t="s">
        <v>574</v>
      </c>
      <c r="H177" s="486" t="str" cm="1">
        <f t="array" ref="H177">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7" s="546"/>
      <c r="O177" s="12"/>
      <c r="P177" s="12"/>
      <c r="Q177" s="12"/>
      <c r="R177" s="12"/>
      <c r="S177" s="12"/>
      <c r="T177" s="12"/>
      <c r="U177" s="12"/>
      <c r="V177" s="12"/>
      <c r="W177" s="12"/>
      <c r="X177" s="12"/>
      <c r="Y177" s="12"/>
      <c r="Z177" s="12"/>
      <c r="AA177" s="12"/>
      <c r="AB177" s="12"/>
      <c r="AC177" s="12"/>
    </row>
    <row r="178" spans="1:29" s="19" customFormat="1" ht="25">
      <c r="A178" s="120" t="s">
        <v>313</v>
      </c>
      <c r="B178" s="69" t="str">
        <f t="array" ref="B178">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8" s="493"/>
      <c r="D178" s="473" t="str">
        <f>IF(TBL_Q_06_Select_All[[#This Row],[Type]]="Question", IF(OR(TBL_Q_06_Select_All[[#This Row],[Shade?]]="Shade", TBL_Q_06_Select_All[[#This Row],[Question]]="Question not used
"), "", IF(TBL_Q_06_Select_All[[#This Row],[Response]]&lt;&gt;"", "Done", "Add")), "")</f>
        <v/>
      </c>
      <c r="E178" s="491" t="s">
        <v>332</v>
      </c>
      <c r="F178" s="487" t="s">
        <v>305</v>
      </c>
      <c r="G178" s="475" t="s">
        <v>575</v>
      </c>
      <c r="H178" s="486" t="str" cm="1">
        <f t="array" ref="H178">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8" s="546"/>
      <c r="O178" s="12"/>
      <c r="P178" s="12"/>
      <c r="Q178" s="12"/>
      <c r="R178" s="12"/>
      <c r="S178" s="12"/>
      <c r="T178" s="12"/>
      <c r="U178" s="12"/>
      <c r="V178" s="12"/>
      <c r="W178" s="12"/>
      <c r="X178" s="12"/>
      <c r="Y178" s="12"/>
      <c r="Z178" s="12"/>
      <c r="AA178" s="12"/>
      <c r="AB178" s="12"/>
      <c r="AC178" s="12"/>
    </row>
    <row r="179" spans="1:29" s="19" customFormat="1" ht="25">
      <c r="A179" s="120" t="s">
        <v>314</v>
      </c>
      <c r="B179" s="69" t="str">
        <f t="array" ref="B179">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79" s="493"/>
      <c r="D179" s="473" t="str">
        <f>IF(TBL_Q_06_Select_All[[#This Row],[Type]]="Question", IF(OR(TBL_Q_06_Select_All[[#This Row],[Shade?]]="Shade", TBL_Q_06_Select_All[[#This Row],[Question]]="Question not used
"), "", IF(TBL_Q_06_Select_All[[#This Row],[Response]]&lt;&gt;"", "Done", "Add")), "")</f>
        <v/>
      </c>
      <c r="E179" s="491" t="s">
        <v>332</v>
      </c>
      <c r="F179" s="487" t="s">
        <v>305</v>
      </c>
      <c r="G179" s="475" t="s">
        <v>576</v>
      </c>
      <c r="H179" s="486" t="str" cm="1">
        <f t="array" ref="H179">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79" s="546"/>
      <c r="O179" s="12"/>
      <c r="P179" s="12"/>
      <c r="Q179" s="12"/>
      <c r="R179" s="12"/>
      <c r="S179" s="12"/>
      <c r="T179" s="12"/>
      <c r="U179" s="12"/>
      <c r="V179" s="12"/>
      <c r="W179" s="12"/>
      <c r="X179" s="12"/>
      <c r="Y179" s="12"/>
      <c r="Z179" s="12"/>
      <c r="AA179" s="12"/>
      <c r="AB179" s="12"/>
      <c r="AC179" s="12"/>
    </row>
    <row r="180" spans="1:29" s="19" customFormat="1" ht="25">
      <c r="A180" s="120" t="s">
        <v>315</v>
      </c>
      <c r="B180" s="69" t="str">
        <f t="array" ref="B180">IF(OR(TBL_Q_06_Select_All[[#This Row],[Type]]="Question", TBL_Q_06_Select_All[[#This Row],[Type]]="Sub-question"), CONCATENATE(INDEX(TBL_ADD_04_Qs_All[Question / Sub-question], MATCH(1, (TBL_Q_06_Select_All[[#This Row],[Q. No.]]=TBL_ADD_04_Qs_All[Q.])*(TBL_Q_06_Select_All[[#This Row],[Type]]=TBL_ADD_04_Qs_All[Type])*("Select"=TBL_ADD_04_Qs_All[Section]),0)), "
"), IF(OR(INDEX(TBL_ADD_04_Qs_All[Question / Sub-question], MATCH(1, (TBL_Q_06_Select_All[[#This Row],[Q_No]]=TBL_ADD_04_Qs_All[Q.])*("Question"=TBL_ADD_04_Qs_All[Type])*("Select"=TBL_ADD_04_Qs_All[Section]),0))="Not used", INDEX(TBL_ADD_04_Qs_All[Question / Sub-question], MATCH(1, (TBL_Q_06_Select_All[[#This Row],[Q_No]]=TBL_ADD_04_Qs_All[Q.])*("Question"=TBL_ADD_04_Qs_All[Type])*("Select"=TBL_ADD_04_Qs_All[Section]),0))="Question not used"), "Not used
", CONCATENATE(INDEX(TBL_ADD_04_Qs_All[Maximum marks available], MATCH(1, (TBL_Q_06_Select_All[[#This Row],[Q. No.]]=TBL_ADD_04_Qs_All[Q.])*("Question"=TBL_ADD_04_Qs_All[Type])*("Select"=TBL_ADD_04_Qs_All[Section]),0)), ".  ", INDEX(TBL_ADD_04_Qs_All[Q_Limit], MATCH(1, (TBL_Q_06_Select_All[[#This Row],[Q. No.]]=TBL_ADD_04_Qs_All[Q.])*("Question"=TBL_ADD_04_Qs_All[Type])*("Select"=TBL_ADD_04_Qs_All[Section]),0)), "
")))</f>
        <v xml:space="preserve">Not used
</v>
      </c>
      <c r="C180" s="493"/>
      <c r="D180" s="478" t="str">
        <f>IF(TBL_Q_06_Select_All[[#This Row],[Type]]="Question", IF(OR(TBL_Q_06_Select_All[[#This Row],[Shade?]]="Shade", TBL_Q_06_Select_All[[#This Row],[Question]]="Question not used
"), "", IF(TBL_Q_06_Select_All[[#This Row],[Response]]&lt;&gt;"", "Done", "Add")), "")</f>
        <v/>
      </c>
      <c r="E180" s="495" t="s">
        <v>332</v>
      </c>
      <c r="F180" s="489" t="s">
        <v>305</v>
      </c>
      <c r="G180" s="485" t="s">
        <v>577</v>
      </c>
      <c r="H180" s="488" t="str" cm="1">
        <f t="array" ref="H180">IF($K$4="No", "Shade", IF(OR(INDEX(TBL_ADD_04_Qs_All[Question / Sub-question], MATCH(1, (TBL_Q_06_Select_All[[#This Row],[Q_No]]=TBL_ADD_04_Qs_All[Q.])*("Question"=TBL_ADD_04_Qs_All[Type])*("Select"=TBL_ADD_04_Qs_All[Section]),0))="Not used", TBL_Q_06_Select_All[[#This Row],[Question]]="Not used
", TBL_Q_06_Select_All[[#This Row],[Question]]="Question not used
"), "Shade", ""))</f>
        <v>Shade</v>
      </c>
      <c r="I180" s="546"/>
      <c r="O180" s="12"/>
      <c r="P180" s="12"/>
      <c r="Q180" s="12"/>
      <c r="R180" s="12"/>
      <c r="S180" s="12"/>
      <c r="T180" s="12"/>
      <c r="U180" s="12"/>
      <c r="V180" s="12"/>
      <c r="W180" s="12"/>
      <c r="X180" s="12"/>
      <c r="Y180" s="12"/>
      <c r="Z180" s="12"/>
      <c r="AA180" s="12"/>
      <c r="AB180" s="12"/>
      <c r="AC180" s="12"/>
    </row>
    <row r="181" spans="1:29" s="19" customFormat="1">
      <c r="A181" s="547"/>
      <c r="B181" s="548"/>
      <c r="C181" s="549"/>
      <c r="D181" s="550"/>
      <c r="E181" s="551"/>
      <c r="F181" s="551"/>
      <c r="G181" s="550"/>
      <c r="H181" s="550"/>
      <c r="S181" s="12"/>
      <c r="T181" s="12"/>
      <c r="U181" s="12"/>
      <c r="V181" s="12"/>
      <c r="W181" s="12"/>
      <c r="X181" s="12"/>
      <c r="Y181" s="12"/>
      <c r="Z181" s="12"/>
      <c r="AA181" s="12"/>
      <c r="AB181" s="12"/>
      <c r="AC181" s="12"/>
    </row>
  </sheetData>
  <sheetProtection algorithmName="SHA-512" hashValue="MwCfJpY/R1e6yIYzZeC1GVvFOPn7HTPwVWtE+p/op2/TxX2cSmAs55m5mMZcnn25d8w9+N3X1QEWBJGantJJiw==" saltValue="yQhcz/0tNqxWNL8omjgGIw==" spinCount="100000" sheet="1" objects="1" scenarios="1"/>
  <protectedRanges>
    <protectedRange sqref="C26 C21 C30:C60" name="Responses"/>
    <protectedRange sqref="C61 C73 C85 C97 C109 C121 C133 C145 C157 C169" name="Data"/>
  </protectedRanges>
  <mergeCells count="7">
    <mergeCell ref="A18:C18"/>
    <mergeCell ref="B6:C6"/>
    <mergeCell ref="A8:C8"/>
    <mergeCell ref="A10:C10"/>
    <mergeCell ref="A12:C12"/>
    <mergeCell ref="A14:C14"/>
    <mergeCell ref="A16:C16"/>
  </mergeCells>
  <phoneticPr fontId="106" type="noConversion"/>
  <conditionalFormatting sqref="A21:H180">
    <cfRule type="expression" dxfId="67" priority="3">
      <formula>INDIRECT("E"&amp;ROW())="Sub-question"</formula>
    </cfRule>
    <cfRule type="expression" dxfId="66" priority="4">
      <formula>INDIRECT("H"&amp;ROW())="Shade"</formula>
    </cfRule>
  </conditionalFormatting>
  <conditionalFormatting sqref="C21:C180">
    <cfRule type="expression" dxfId="65" priority="6">
      <formula>INDIRECT("D"&amp;ROW())="Done"</formula>
    </cfRule>
    <cfRule type="expression" dxfId="64" priority="7">
      <formula>INDIRECT("D"&amp;ROW())="Add"</formula>
    </cfRule>
  </conditionalFormatting>
  <dataValidations disablePrompts="1" count="2">
    <dataValidation type="list" allowBlank="1" showInputMessage="1" showErrorMessage="1" sqref="C21 C49" xr:uid="{9B45A807-A0A9-4C76-BD5E-BC2AA2A72975}">
      <formula1>"Enclosed, N/A"</formula1>
    </dataValidation>
    <dataValidation type="list" allowBlank="1" showInputMessage="1" showErrorMessage="1" sqref="C73 C85 C97 C61 C109 C121 C133 C145 C157 C169 C37" xr:uid="{1E734189-C5FE-406D-AA73-E12E7CA0AC0C}">
      <formula1>"Enclosed"</formula1>
    </dataValidation>
  </dataValidations>
  <pageMargins left="0.78740157480314965" right="0.78740157480314965" top="0.39370078740157483" bottom="0.78740157480314965" header="0" footer="0.39370078740157483"/>
  <pageSetup paperSize="9" orientation="portrait" r:id="rId1"/>
  <headerFooter>
    <oddFooter>&amp;C&amp;"Arial,Regular"&amp;10&amp;K00-049&amp;P</oddFooter>
  </headerFooter>
  <rowBreaks count="7" manualBreakCount="7">
    <brk id="19" max="16383" man="1"/>
    <brk id="27" max="16383" man="1"/>
    <brk id="65" max="16383" man="1"/>
    <brk id="96" max="2" man="1"/>
    <brk id="113" max="16383" man="1"/>
    <brk id="137" max="16383" man="1"/>
    <brk id="161" max="16383" man="1"/>
  </rowBreaks>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C0042-B67F-4720-B536-2D574FF0C037}">
  <sheetPr>
    <tabColor rgb="FFFF0000"/>
  </sheetPr>
  <dimension ref="A1:N131"/>
  <sheetViews>
    <sheetView showGridLines="0" topLeftCell="M1" zoomScaleNormal="100" workbookViewId="0">
      <selection activeCell="L1" sqref="A1:L1048576"/>
    </sheetView>
  </sheetViews>
  <sheetFormatPr defaultColWidth="9" defaultRowHeight="14"/>
  <cols>
    <col min="1" max="1" width="9.453125" style="40" hidden="1" customWidth="1"/>
    <col min="2" max="2" width="60.90625" style="3" hidden="1" customWidth="1"/>
    <col min="3" max="3" width="9.90625" style="1" hidden="1" customWidth="1"/>
    <col min="4" max="4" width="8.6328125" style="4" hidden="1" customWidth="1"/>
    <col min="5" max="5" width="12.08984375" style="4" hidden="1" customWidth="1"/>
    <col min="6" max="6" width="7.90625" style="1" hidden="1" customWidth="1"/>
    <col min="7" max="7" width="9.6328125" style="1" hidden="1" customWidth="1"/>
    <col min="8" max="8" width="12.90625" style="4" hidden="1" customWidth="1"/>
    <col min="9" max="11" width="9.453125" style="1" hidden="1" customWidth="1"/>
    <col min="12" max="12" width="9.453125" style="4" hidden="1" customWidth="1"/>
    <col min="13" max="14" width="9.453125" style="4" customWidth="1"/>
    <col min="15" max="21" width="9.453125" style="1" customWidth="1"/>
    <col min="22" max="16384" width="9" style="1"/>
  </cols>
  <sheetData>
    <row r="1" spans="1:14" s="343"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D1" s="349"/>
      <c r="E1" s="349"/>
      <c r="F1" s="347" t="str">
        <f>IF(COUNTIF(D:D, "Add")&gt;0, "Incomplete", "Complete")</f>
        <v>Complete</v>
      </c>
      <c r="G1" s="349" t="str">
        <f t="array" ref="G1">INDEX(TBL_DATA_00_Doc_Merge[Supplier_Type], MATCH(1, (REF_Doc_Lot=TBL_DATA_00_Doc_Merge[Lot])*(REF_Job_No=TBL_DATA_00_Doc_Merge[Job_No]),0))</f>
        <v>Supplier</v>
      </c>
      <c r="H1" s="582" t="s">
        <v>2224</v>
      </c>
      <c r="L1" s="349"/>
      <c r="M1" s="349"/>
      <c r="N1" s="349"/>
    </row>
    <row r="2" spans="1:14" s="343" customFormat="1" ht="12.5" customHeight="1">
      <c r="A2" s="54" t="str">
        <f t="array" ref="A2">CONCATENATE(INDEX(TBL_DATA_00_Doc_Merge[Supplier_Type], MATCH(1, (REF_Doc_Lot=TBL_DATA_00_Doc_Merge[Lot])*(REF_Job_No=TBL_DATA_00_Doc_Merge[Job_No]),0)), ":")</f>
        <v>Supplier:</v>
      </c>
      <c r="B2" s="54" t="str">
        <f>Response!$A$2</f>
        <v>Purdy Contracts Ltd</v>
      </c>
      <c r="D2" s="349"/>
      <c r="E2" s="349"/>
      <c r="F2" s="347"/>
      <c r="G2" s="349"/>
      <c r="H2" s="582" t="s">
        <v>2225</v>
      </c>
      <c r="L2" s="349"/>
      <c r="M2" s="349"/>
      <c r="N2" s="349"/>
    </row>
    <row r="3" spans="1:14" s="343" customFormat="1" ht="12.5" customHeight="1">
      <c r="A3" s="350"/>
      <c r="B3" s="94"/>
      <c r="D3" s="349"/>
      <c r="E3" s="349"/>
      <c r="G3" s="94"/>
      <c r="H3" s="582" t="s">
        <v>2226</v>
      </c>
      <c r="L3" s="349"/>
      <c r="M3" s="349"/>
      <c r="N3" s="349"/>
    </row>
    <row r="4" spans="1:14" s="131" customFormat="1" ht="17.5">
      <c r="A4" s="88" t="s">
        <v>489</v>
      </c>
      <c r="B4" s="212" t="str">
        <f>IF($G$4="No", "Part not used", "Technical submission")</f>
        <v>Technical submission</v>
      </c>
      <c r="D4" s="110"/>
      <c r="E4" s="110"/>
      <c r="F4" s="131" t="str">
        <f>IF(REF_Lotted="Yes", IF(REF_Doc_Lot="All", IF(REF_Tech_1_Qs="Yes"," for all Lots", "Not used"), CONCATENATE(" for ",SUBSTITUTE(REF_Doc_Lot, "_", " "))), "")</f>
        <v/>
      </c>
      <c r="G4" s="131" t="str">
        <f>IF(REF_Split_Price=100, "No", IF(REF_Lotted="Yes", IF(REF_Doc_Lot="All", IF(REF_Tech_1_Qs="Yes", "Yes", "No"), "Yes"), "Yes"))</f>
        <v>Yes</v>
      </c>
      <c r="I4" s="110"/>
      <c r="L4" s="110"/>
      <c r="M4" s="110"/>
      <c r="N4" s="110"/>
    </row>
    <row r="5" spans="1:14" s="116" customFormat="1">
      <c r="A5" s="117"/>
      <c r="B5" s="118"/>
      <c r="D5" s="470"/>
      <c r="E5" s="470"/>
      <c r="I5" s="117"/>
      <c r="L5" s="470"/>
      <c r="M5" s="470"/>
      <c r="N5" s="470"/>
    </row>
    <row r="6" spans="1:14" s="122" customFormat="1" ht="17.5">
      <c r="A6" s="214"/>
      <c r="B6" s="215" t="str">
        <f>IF($G$4="No", CONCATENATE($G$6, " (Relates to", SUBSTITUTE(F4, "for ", ""), ")"), CONCATENATE($F$6, $F$4))</f>
        <v>Project delivery questions</v>
      </c>
      <c r="D6" s="123"/>
      <c r="E6" s="123"/>
      <c r="F6" s="122" t="s">
        <v>1863</v>
      </c>
      <c r="G6" s="122" t="s">
        <v>213</v>
      </c>
      <c r="I6" s="123"/>
      <c r="L6" s="123"/>
      <c r="M6" s="123"/>
      <c r="N6" s="123"/>
    </row>
    <row r="7" spans="1:14" ht="15.5">
      <c r="A7" s="111"/>
      <c r="B7" s="112"/>
      <c r="H7" s="1"/>
      <c r="I7" s="3"/>
    </row>
    <row r="8" spans="1:14" ht="25.25" customHeight="1">
      <c r="A8" s="113" t="s">
        <v>447</v>
      </c>
      <c r="B8" s="696" t="str">
        <f>CONCATENATE($G$1, "s should refer to the instructions provided in Document 1 on how to complete and return the responses to the questions set out below.")</f>
        <v>Suppliers should refer to the instructions provided in Document 1 on how to complete and return the responses to the questions set out below.</v>
      </c>
      <c r="C8" s="696"/>
      <c r="H8" s="1"/>
      <c r="I8" s="3"/>
    </row>
    <row r="9" spans="1:14" s="100" customFormat="1" ht="12.5">
      <c r="A9" s="41"/>
      <c r="B9" s="114"/>
      <c r="D9" s="471"/>
      <c r="E9" s="471"/>
      <c r="I9" s="114"/>
      <c r="L9" s="471"/>
      <c r="M9" s="471"/>
      <c r="N9" s="471"/>
    </row>
    <row r="10" spans="1:14" s="100" customFormat="1" ht="13">
      <c r="A10" s="63" t="s">
        <v>446</v>
      </c>
      <c r="B10" s="63" t="s">
        <v>146</v>
      </c>
      <c r="C10" s="136" t="s">
        <v>19</v>
      </c>
      <c r="D10" s="136" t="s">
        <v>487</v>
      </c>
      <c r="E10" s="136" t="s">
        <v>330</v>
      </c>
      <c r="F10" s="136" t="s">
        <v>337</v>
      </c>
      <c r="G10" s="136" t="s">
        <v>567</v>
      </c>
      <c r="H10" s="136" t="s">
        <v>488</v>
      </c>
    </row>
    <row r="11" spans="1:14" s="100" customFormat="1" ht="26">
      <c r="A11" s="71" t="str">
        <f>IF(TBL_Q_10_Tech_All[[#This Row],[Sub_No]]="N/A", TBL_Q_10_Tech_All[[#This Row],[Q_No]], CONCATENATE(TBL_Q_10_Tech_All[[#This Row],[Q_No]], TBL_Q_10_Tech_All[[#This Row],[Sub_No]]))</f>
        <v>Q4.1</v>
      </c>
      <c r="B11" s="73" t="str">
        <f t="array" ref="B1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 s="473"/>
      <c r="D11" s="486" t="str">
        <f>IF(TBL_Q_10_Tech_All[[#This Row],[Shade?]]="Shade", "", IF(TBL_Q_10_Tech_All[[#This Row],[Type]]="Question", IF(TBL_Q_10_Tech_All[[#This Row],[Response]]&lt;&gt;"", "Done", "Add"), ""))</f>
        <v/>
      </c>
      <c r="E11" s="487" t="s">
        <v>146</v>
      </c>
      <c r="F11" s="474" t="s">
        <v>1313</v>
      </c>
      <c r="G11" s="475" t="s">
        <v>24</v>
      </c>
      <c r="H11" s="476" t="str" cm="1">
        <f t="array" ref="H11">IF($G$4="No", "Shade", IF(OR(INDEX(TBL_ADD_04_Qs_All[Question / Sub-question], MATCH(1, (TBL_Q_10_Tech_All[[#This Row],[Q_No]]=TBL_ADD_04_Qs_All[Q.])*("Question"=TBL_ADD_04_Qs_All[Type])*("Tech"=TBL_ADD_04_Qs_All[Section]),0))="Not used", TBL_Q_10_Tech_All[[#This Row],[Question]]="Not used
"), "Shade", ""))</f>
        <v>Shade</v>
      </c>
    </row>
    <row r="12" spans="1:14" s="100" customFormat="1" ht="26">
      <c r="A12" s="477" t="str">
        <f>IF(TBL_Q_10_Tech_All[[#This Row],[Sub_No]]="N/A", TBL_Q_10_Tech_All[[#This Row],[Q_No]], CONCATENATE(TBL_Q_10_Tech_All[[#This Row],[Q_No]], TBL_Q_10_Tech_All[[#This Row],[Sub_No]]))</f>
        <v>Q4.1</v>
      </c>
      <c r="B12" s="120" t="str">
        <f t="array" ref="B1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 s="478"/>
      <c r="D12" s="486" t="str">
        <f>IF(TBL_Q_10_Tech_All[[#This Row],[Shade?]]="Shade", "", IF(TBL_Q_10_Tech_All[[#This Row],[Type]]="Question", IF(TBL_Q_10_Tech_All[[#This Row],[Response]]&lt;&gt;"", "Done", "Add"), ""))</f>
        <v/>
      </c>
      <c r="E12" s="487" t="s">
        <v>348</v>
      </c>
      <c r="F12" s="474" t="s">
        <v>1313</v>
      </c>
      <c r="G12" s="475" t="s">
        <v>24</v>
      </c>
      <c r="H12" s="476" t="str" cm="1">
        <f t="array" ref="H12">IF($G$4="No", "Shade", IF(OR(INDEX(TBL_ADD_04_Qs_All[Question / Sub-question], MATCH(1, (TBL_Q_10_Tech_All[[#This Row],[Q_No]]=TBL_ADD_04_Qs_All[Q.])*("Question"=TBL_ADD_04_Qs_All[Type])*("Tech"=TBL_ADD_04_Qs_All[Section]),0))="Not used", TBL_Q_10_Tech_All[[#This Row],[Question]]="Not used
"), "Shade", ""))</f>
        <v>Shade</v>
      </c>
    </row>
    <row r="13" spans="1:14" s="100" customFormat="1" ht="25">
      <c r="A13" s="479" t="str">
        <f>IF(TBL_Q_10_Tech_All[[#This Row],[Sub_No]]="N/A", TBL_Q_10_Tech_All[[#This Row],[Q_No]], CONCATENATE(TBL_Q_10_Tech_All[[#This Row],[Q_No]], TBL_Q_10_Tech_All[[#This Row],[Sub_No]]))</f>
        <v>Q4.1.1</v>
      </c>
      <c r="B13" s="120" t="str">
        <f t="array" ref="B1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3" s="480"/>
      <c r="D13" s="486" t="str">
        <f>IF(TBL_Q_10_Tech_All[[#This Row],[Shade?]]="Shade", "", IF(TBL_Q_10_Tech_All[[#This Row],[Type]]="Question", IF(TBL_Q_10_Tech_All[[#This Row],[Response]]&lt;&gt;"", "Done", "Add"), ""))</f>
        <v/>
      </c>
      <c r="E13" s="487" t="s">
        <v>332</v>
      </c>
      <c r="F13" s="474" t="s">
        <v>1313</v>
      </c>
      <c r="G13" s="475" t="s">
        <v>568</v>
      </c>
      <c r="H13" s="476" t="str" cm="1">
        <f t="array" ref="H13">IF($G$4="No", "Shade", IF(OR(INDEX(TBL_ADD_04_Qs_All[Question / Sub-question], MATCH(1, (TBL_Q_10_Tech_All[[#This Row],[Q_No]]=TBL_ADD_04_Qs_All[Q.])*("Question"=TBL_ADD_04_Qs_All[Type])*("Tech"=TBL_ADD_04_Qs_All[Section]),0))="Not used", TBL_Q_10_Tech_All[[#This Row],[Question]]="Not used
"), "Shade", ""))</f>
        <v>Shade</v>
      </c>
    </row>
    <row r="14" spans="1:14" s="100" customFormat="1" ht="25">
      <c r="A14" s="479" t="str">
        <f>IF(TBL_Q_10_Tech_All[[#This Row],[Sub_No]]="N/A", TBL_Q_10_Tech_All[[#This Row],[Q_No]], CONCATENATE(TBL_Q_10_Tech_All[[#This Row],[Q_No]], TBL_Q_10_Tech_All[[#This Row],[Sub_No]]))</f>
        <v>Q4.1.2</v>
      </c>
      <c r="B14" s="120" t="str">
        <f t="array" ref="B1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4" s="480"/>
      <c r="D14" s="486" t="str">
        <f>IF(TBL_Q_10_Tech_All[[#This Row],[Shade?]]="Shade", "", IF(TBL_Q_10_Tech_All[[#This Row],[Type]]="Question", IF(TBL_Q_10_Tech_All[[#This Row],[Response]]&lt;&gt;"", "Done", "Add"), ""))</f>
        <v/>
      </c>
      <c r="E14" s="487" t="s">
        <v>332</v>
      </c>
      <c r="F14" s="474" t="s">
        <v>1313</v>
      </c>
      <c r="G14" s="475" t="s">
        <v>572</v>
      </c>
      <c r="H14" s="476" t="str" cm="1">
        <f t="array" ref="H14">IF($G$4="No", "Shade", IF(OR(INDEX(TBL_ADD_04_Qs_All[Question / Sub-question], MATCH(1, (TBL_Q_10_Tech_All[[#This Row],[Q_No]]=TBL_ADD_04_Qs_All[Q.])*("Question"=TBL_ADD_04_Qs_All[Type])*("Tech"=TBL_ADD_04_Qs_All[Section]),0))="Not used", TBL_Q_10_Tech_All[[#This Row],[Question]]="Not used
"), "Shade", ""))</f>
        <v>Shade</v>
      </c>
    </row>
    <row r="15" spans="1:14" s="100" customFormat="1" ht="25">
      <c r="A15" s="479" t="str">
        <f>IF(TBL_Q_10_Tech_All[[#This Row],[Sub_No]]="N/A", TBL_Q_10_Tech_All[[#This Row],[Q_No]], CONCATENATE(TBL_Q_10_Tech_All[[#This Row],[Q_No]], TBL_Q_10_Tech_All[[#This Row],[Sub_No]]))</f>
        <v>Q4.1.3</v>
      </c>
      <c r="B15" s="120" t="str">
        <f t="array" ref="B1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5" s="480"/>
      <c r="D15" s="486" t="str">
        <f>IF(TBL_Q_10_Tech_All[[#This Row],[Shade?]]="Shade", "", IF(TBL_Q_10_Tech_All[[#This Row],[Type]]="Question", IF(TBL_Q_10_Tech_All[[#This Row],[Response]]&lt;&gt;"", "Done", "Add"), ""))</f>
        <v/>
      </c>
      <c r="E15" s="487" t="s">
        <v>332</v>
      </c>
      <c r="F15" s="474" t="s">
        <v>1313</v>
      </c>
      <c r="G15" s="475" t="s">
        <v>569</v>
      </c>
      <c r="H15" s="476" t="str" cm="1">
        <f t="array" ref="H15">IF($G$4="No", "Shade", IF(OR(INDEX(TBL_ADD_04_Qs_All[Question / Sub-question], MATCH(1, (TBL_Q_10_Tech_All[[#This Row],[Q_No]]=TBL_ADD_04_Qs_All[Q.])*("Question"=TBL_ADD_04_Qs_All[Type])*("Tech"=TBL_ADD_04_Qs_All[Section]),0))="Not used", TBL_Q_10_Tech_All[[#This Row],[Question]]="Not used
"), "Shade", ""))</f>
        <v>Shade</v>
      </c>
    </row>
    <row r="16" spans="1:14" s="100" customFormat="1" ht="25">
      <c r="A16" s="479" t="str">
        <f>IF(TBL_Q_10_Tech_All[[#This Row],[Sub_No]]="N/A", TBL_Q_10_Tech_All[[#This Row],[Q_No]], CONCATENATE(TBL_Q_10_Tech_All[[#This Row],[Q_No]], TBL_Q_10_Tech_All[[#This Row],[Sub_No]]))</f>
        <v>Q4.1.4</v>
      </c>
      <c r="B16" s="120" t="str">
        <f t="array" ref="B1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6" s="480"/>
      <c r="D16" s="486" t="str">
        <f>IF(TBL_Q_10_Tech_All[[#This Row],[Shade?]]="Shade", "", IF(TBL_Q_10_Tech_All[[#This Row],[Type]]="Question", IF(TBL_Q_10_Tech_All[[#This Row],[Response]]&lt;&gt;"", "Done", "Add"), ""))</f>
        <v/>
      </c>
      <c r="E16" s="487" t="s">
        <v>332</v>
      </c>
      <c r="F16" s="474" t="s">
        <v>1313</v>
      </c>
      <c r="G16" s="475" t="s">
        <v>570</v>
      </c>
      <c r="H16" s="476" t="str" cm="1">
        <f t="array" ref="H16">IF($G$4="No", "Shade", IF(OR(INDEX(TBL_ADD_04_Qs_All[Question / Sub-question], MATCH(1, (TBL_Q_10_Tech_All[[#This Row],[Q_No]]=TBL_ADD_04_Qs_All[Q.])*("Question"=TBL_ADD_04_Qs_All[Type])*("Tech"=TBL_ADD_04_Qs_All[Section]),0))="Not used", TBL_Q_10_Tech_All[[#This Row],[Question]]="Not used
"), "Shade", ""))</f>
        <v>Shade</v>
      </c>
    </row>
    <row r="17" spans="1:8" s="100" customFormat="1" ht="25">
      <c r="A17" s="479" t="str">
        <f>IF(TBL_Q_10_Tech_All[[#This Row],[Sub_No]]="N/A", TBL_Q_10_Tech_All[[#This Row],[Q_No]], CONCATENATE(TBL_Q_10_Tech_All[[#This Row],[Q_No]], TBL_Q_10_Tech_All[[#This Row],[Sub_No]]))</f>
        <v>Q4.1.5</v>
      </c>
      <c r="B17" s="120" t="str">
        <f t="array" ref="B1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7" s="480"/>
      <c r="D17" s="486" t="str">
        <f>IF(TBL_Q_10_Tech_All[[#This Row],[Shade?]]="Shade", "", IF(TBL_Q_10_Tech_All[[#This Row],[Type]]="Question", IF(TBL_Q_10_Tech_All[[#This Row],[Response]]&lt;&gt;"", "Done", "Add"), ""))</f>
        <v/>
      </c>
      <c r="E17" s="487" t="s">
        <v>332</v>
      </c>
      <c r="F17" s="474" t="s">
        <v>1313</v>
      </c>
      <c r="G17" s="475" t="s">
        <v>571</v>
      </c>
      <c r="H17" s="476" t="str" cm="1">
        <f t="array" ref="H17">IF($G$4="No", "Shade", IF(OR(INDEX(TBL_ADD_04_Qs_All[Question / Sub-question], MATCH(1, (TBL_Q_10_Tech_All[[#This Row],[Q_No]]=TBL_ADD_04_Qs_All[Q.])*("Question"=TBL_ADD_04_Qs_All[Type])*("Tech"=TBL_ADD_04_Qs_All[Section]),0))="Not used", TBL_Q_10_Tech_All[[#This Row],[Question]]="Not used
"), "Shade", ""))</f>
        <v>Shade</v>
      </c>
    </row>
    <row r="18" spans="1:8" s="100" customFormat="1" ht="25">
      <c r="A18" s="479" t="str">
        <f>IF(TBL_Q_10_Tech_All[[#This Row],[Sub_No]]="N/A", TBL_Q_10_Tech_All[[#This Row],[Q_No]], CONCATENATE(TBL_Q_10_Tech_All[[#This Row],[Q_No]], TBL_Q_10_Tech_All[[#This Row],[Sub_No]]))</f>
        <v>Q4.1.6</v>
      </c>
      <c r="B18" s="120" t="str">
        <f t="array" ref="B1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8" s="480"/>
      <c r="D18" s="486" t="str">
        <f>IF(TBL_Q_10_Tech_All[[#This Row],[Shade?]]="Shade", "", IF(TBL_Q_10_Tech_All[[#This Row],[Type]]="Question", IF(TBL_Q_10_Tech_All[[#This Row],[Response]]&lt;&gt;"", "Done", "Add"), ""))</f>
        <v/>
      </c>
      <c r="E18" s="487" t="s">
        <v>332</v>
      </c>
      <c r="F18" s="474" t="s">
        <v>1313</v>
      </c>
      <c r="G18" s="475" t="s">
        <v>573</v>
      </c>
      <c r="H18" s="476" t="str" cm="1">
        <f t="array" ref="H18">IF($G$4="No", "Shade", IF(OR(INDEX(TBL_ADD_04_Qs_All[Question / Sub-question], MATCH(1, (TBL_Q_10_Tech_All[[#This Row],[Q_No]]=TBL_ADD_04_Qs_All[Q.])*("Question"=TBL_ADD_04_Qs_All[Type])*("Tech"=TBL_ADD_04_Qs_All[Section]),0))="Not used", TBL_Q_10_Tech_All[[#This Row],[Question]]="Not used
"), "Shade", ""))</f>
        <v>Shade</v>
      </c>
    </row>
    <row r="19" spans="1:8" s="100" customFormat="1" ht="25">
      <c r="A19" s="479" t="str">
        <f>IF(TBL_Q_10_Tech_All[[#This Row],[Sub_No]]="N/A", TBL_Q_10_Tech_All[[#This Row],[Q_No]], CONCATENATE(TBL_Q_10_Tech_All[[#This Row],[Q_No]], TBL_Q_10_Tech_All[[#This Row],[Sub_No]]))</f>
        <v>Q4.1.7</v>
      </c>
      <c r="B19" s="120" t="str">
        <f t="array" ref="B1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9" s="480"/>
      <c r="D19" s="486" t="str">
        <f>IF(TBL_Q_10_Tech_All[[#This Row],[Shade?]]="Shade", "", IF(TBL_Q_10_Tech_All[[#This Row],[Type]]="Question", IF(TBL_Q_10_Tech_All[[#This Row],[Response]]&lt;&gt;"", "Done", "Add"), ""))</f>
        <v/>
      </c>
      <c r="E19" s="487" t="s">
        <v>332</v>
      </c>
      <c r="F19" s="474" t="s">
        <v>1313</v>
      </c>
      <c r="G19" s="475" t="s">
        <v>574</v>
      </c>
      <c r="H19" s="476" t="str" cm="1">
        <f t="array" ref="H19">IF($G$4="No", "Shade", IF(OR(INDEX(TBL_ADD_04_Qs_All[Question / Sub-question], MATCH(1, (TBL_Q_10_Tech_All[[#This Row],[Q_No]]=TBL_ADD_04_Qs_All[Q.])*("Question"=TBL_ADD_04_Qs_All[Type])*("Tech"=TBL_ADD_04_Qs_All[Section]),0))="Not used", TBL_Q_10_Tech_All[[#This Row],[Question]]="Not used
"), "Shade", ""))</f>
        <v>Shade</v>
      </c>
    </row>
    <row r="20" spans="1:8" s="100" customFormat="1" ht="25">
      <c r="A20" s="479" t="str">
        <f>IF(TBL_Q_10_Tech_All[[#This Row],[Sub_No]]="N/A", TBL_Q_10_Tech_All[[#This Row],[Q_No]], CONCATENATE(TBL_Q_10_Tech_All[[#This Row],[Q_No]], TBL_Q_10_Tech_All[[#This Row],[Sub_No]]))</f>
        <v>Q4.1.8</v>
      </c>
      <c r="B20" s="120" t="str">
        <f t="array" ref="B2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0" s="480"/>
      <c r="D20" s="486" t="str">
        <f>IF(TBL_Q_10_Tech_All[[#This Row],[Shade?]]="Shade", "", IF(TBL_Q_10_Tech_All[[#This Row],[Type]]="Question", IF(TBL_Q_10_Tech_All[[#This Row],[Response]]&lt;&gt;"", "Done", "Add"), ""))</f>
        <v/>
      </c>
      <c r="E20" s="487" t="s">
        <v>332</v>
      </c>
      <c r="F20" s="474" t="s">
        <v>1313</v>
      </c>
      <c r="G20" s="475" t="s">
        <v>575</v>
      </c>
      <c r="H20" s="476" t="str" cm="1">
        <f t="array" ref="H20">IF($G$4="No", "Shade", IF(OR(INDEX(TBL_ADD_04_Qs_All[Question / Sub-question], MATCH(1, (TBL_Q_10_Tech_All[[#This Row],[Q_No]]=TBL_ADD_04_Qs_All[Q.])*("Question"=TBL_ADD_04_Qs_All[Type])*("Tech"=TBL_ADD_04_Qs_All[Section]),0))="Not used", TBL_Q_10_Tech_All[[#This Row],[Question]]="Not used
"), "Shade", ""))</f>
        <v>Shade</v>
      </c>
    </row>
    <row r="21" spans="1:8" s="100" customFormat="1" ht="25">
      <c r="A21" s="479" t="str">
        <f>IF(TBL_Q_10_Tech_All[[#This Row],[Sub_No]]="N/A", TBL_Q_10_Tech_All[[#This Row],[Q_No]], CONCATENATE(TBL_Q_10_Tech_All[[#This Row],[Q_No]], TBL_Q_10_Tech_All[[#This Row],[Sub_No]]))</f>
        <v>Q4.1.9</v>
      </c>
      <c r="B21" s="120" t="str">
        <f t="array" ref="B2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1" s="480"/>
      <c r="D21" s="486" t="str">
        <f>IF(TBL_Q_10_Tech_All[[#This Row],[Shade?]]="Shade", "", IF(TBL_Q_10_Tech_All[[#This Row],[Type]]="Question", IF(TBL_Q_10_Tech_All[[#This Row],[Response]]&lt;&gt;"", "Done", "Add"), ""))</f>
        <v/>
      </c>
      <c r="E21" s="487" t="s">
        <v>332</v>
      </c>
      <c r="F21" s="474" t="s">
        <v>1313</v>
      </c>
      <c r="G21" s="475" t="s">
        <v>576</v>
      </c>
      <c r="H21" s="476" t="str" cm="1">
        <f t="array" ref="H21">IF($G$4="No", "Shade", IF(OR(INDEX(TBL_ADD_04_Qs_All[Question / Sub-question], MATCH(1, (TBL_Q_10_Tech_All[[#This Row],[Q_No]]=TBL_ADD_04_Qs_All[Q.])*("Question"=TBL_ADD_04_Qs_All[Type])*("Tech"=TBL_ADD_04_Qs_All[Section]),0))="Not used", TBL_Q_10_Tech_All[[#This Row],[Question]]="Not used
"), "Shade", ""))</f>
        <v>Shade</v>
      </c>
    </row>
    <row r="22" spans="1:8" s="100" customFormat="1" ht="25">
      <c r="A22" s="481" t="str">
        <f>IF(TBL_Q_10_Tech_All[[#This Row],[Sub_No]]="N/A", TBL_Q_10_Tech_All[[#This Row],[Q_No]], CONCATENATE(TBL_Q_10_Tech_All[[#This Row],[Q_No]], TBL_Q_10_Tech_All[[#This Row],[Sub_No]]))</f>
        <v>Q4.1.10</v>
      </c>
      <c r="B22" s="482" t="str">
        <f t="array" ref="B2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2" s="483"/>
      <c r="D22" s="486" t="str">
        <f>IF(TBL_Q_10_Tech_All[[#This Row],[Shade?]]="Shade", "", IF(TBL_Q_10_Tech_All[[#This Row],[Type]]="Question", IF(TBL_Q_10_Tech_All[[#This Row],[Response]]&lt;&gt;"", "Done", "Add"), ""))</f>
        <v/>
      </c>
      <c r="E22" s="487" t="s">
        <v>332</v>
      </c>
      <c r="F22" s="474" t="s">
        <v>1313</v>
      </c>
      <c r="G22" s="475" t="s">
        <v>577</v>
      </c>
      <c r="H22" s="476" t="str" cm="1">
        <f t="array" ref="H22">IF($G$4="No", "Shade", IF(OR(INDEX(TBL_ADD_04_Qs_All[Question / Sub-question], MATCH(1, (TBL_Q_10_Tech_All[[#This Row],[Q_No]]=TBL_ADD_04_Qs_All[Q.])*("Question"=TBL_ADD_04_Qs_All[Type])*("Tech"=TBL_ADD_04_Qs_All[Section]),0))="Not used", TBL_Q_10_Tech_All[[#This Row],[Question]]="Not used
"), "Shade", ""))</f>
        <v>Shade</v>
      </c>
    </row>
    <row r="23" spans="1:8" s="100" customFormat="1" ht="26">
      <c r="A23" s="71" t="str">
        <f>IF(TBL_Q_10_Tech_All[[#This Row],[Sub_No]]="N/A", TBL_Q_10_Tech_All[[#This Row],[Q_No]], CONCATENATE(TBL_Q_10_Tech_All[[#This Row],[Q_No]], TBL_Q_10_Tech_All[[#This Row],[Sub_No]]))</f>
        <v>Q4.2</v>
      </c>
      <c r="B23" s="73" t="str">
        <f t="array" ref="B2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3" s="473"/>
      <c r="D23" s="486" t="str">
        <f>IF(TBL_Q_10_Tech_All[[#This Row],[Shade?]]="Shade", "", IF(TBL_Q_10_Tech_All[[#This Row],[Type]]="Question", IF(TBL_Q_10_Tech_All[[#This Row],[Response]]&lt;&gt;"", "Done", "Add"), ""))</f>
        <v/>
      </c>
      <c r="E23" s="487" t="s">
        <v>146</v>
      </c>
      <c r="F23" s="474" t="s">
        <v>1314</v>
      </c>
      <c r="G23" s="475" t="s">
        <v>24</v>
      </c>
      <c r="H23" s="476" t="str" cm="1">
        <f t="array" ref="H23">IF($G$4="No", "Shade", IF(OR(INDEX(TBL_ADD_04_Qs_All[Question / Sub-question], MATCH(1, (TBL_Q_10_Tech_All[[#This Row],[Q_No]]=TBL_ADD_04_Qs_All[Q.])*("Question"=TBL_ADD_04_Qs_All[Type])*("Tech"=TBL_ADD_04_Qs_All[Section]),0))="Not used", TBL_Q_10_Tech_All[[#This Row],[Question]]="Not used
"), "Shade", ""))</f>
        <v>Shade</v>
      </c>
    </row>
    <row r="24" spans="1:8" s="100" customFormat="1" ht="26">
      <c r="A24" s="477" t="str">
        <f>IF(TBL_Q_10_Tech_All[[#This Row],[Sub_No]]="N/A", TBL_Q_10_Tech_All[[#This Row],[Q_No]], CONCATENATE(TBL_Q_10_Tech_All[[#This Row],[Q_No]], TBL_Q_10_Tech_All[[#This Row],[Sub_No]]))</f>
        <v>Q4.2</v>
      </c>
      <c r="B24" s="120" t="str">
        <f t="array" ref="B2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4" s="478"/>
      <c r="D24" s="486" t="str">
        <f>IF(TBL_Q_10_Tech_All[[#This Row],[Shade?]]="Shade", "", IF(TBL_Q_10_Tech_All[[#This Row],[Type]]="Question", IF(TBL_Q_10_Tech_All[[#This Row],[Response]]&lt;&gt;"", "Done", "Add"), ""))</f>
        <v/>
      </c>
      <c r="E24" s="487" t="s">
        <v>348</v>
      </c>
      <c r="F24" s="474" t="s">
        <v>1314</v>
      </c>
      <c r="G24" s="475" t="s">
        <v>24</v>
      </c>
      <c r="H24" s="476" t="str" cm="1">
        <f t="array" ref="H24">IF($G$4="No", "Shade", IF(OR(INDEX(TBL_ADD_04_Qs_All[Question / Sub-question], MATCH(1, (TBL_Q_10_Tech_All[[#This Row],[Q_No]]=TBL_ADD_04_Qs_All[Q.])*("Question"=TBL_ADD_04_Qs_All[Type])*("Tech"=TBL_ADD_04_Qs_All[Section]),0))="Not used", TBL_Q_10_Tech_All[[#This Row],[Question]]="Not used
"), "Shade", ""))</f>
        <v>Shade</v>
      </c>
    </row>
    <row r="25" spans="1:8" s="100" customFormat="1" ht="25">
      <c r="A25" s="479" t="str">
        <f>IF(TBL_Q_10_Tech_All[[#This Row],[Sub_No]]="N/A", TBL_Q_10_Tech_All[[#This Row],[Q_No]], CONCATENATE(TBL_Q_10_Tech_All[[#This Row],[Q_No]], TBL_Q_10_Tech_All[[#This Row],[Sub_No]]))</f>
        <v>Q4.2.1</v>
      </c>
      <c r="B25" s="120" t="str">
        <f t="array" ref="B2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5" s="480"/>
      <c r="D25" s="486" t="str">
        <f>IF(TBL_Q_10_Tech_All[[#This Row],[Shade?]]="Shade", "", IF(TBL_Q_10_Tech_All[[#This Row],[Type]]="Question", IF(TBL_Q_10_Tech_All[[#This Row],[Response]]&lt;&gt;"", "Done", "Add"), ""))</f>
        <v/>
      </c>
      <c r="E25" s="487" t="s">
        <v>332</v>
      </c>
      <c r="F25" s="474" t="s">
        <v>1314</v>
      </c>
      <c r="G25" s="475" t="s">
        <v>568</v>
      </c>
      <c r="H25" s="476" t="str" cm="1">
        <f t="array" ref="H25">IF($G$4="No", "Shade", IF(OR(INDEX(TBL_ADD_04_Qs_All[Question / Sub-question], MATCH(1, (TBL_Q_10_Tech_All[[#This Row],[Q_No]]=TBL_ADD_04_Qs_All[Q.])*("Question"=TBL_ADD_04_Qs_All[Type])*("Tech"=TBL_ADD_04_Qs_All[Section]),0))="Not used", TBL_Q_10_Tech_All[[#This Row],[Question]]="Not used
"), "Shade", ""))</f>
        <v>Shade</v>
      </c>
    </row>
    <row r="26" spans="1:8" s="100" customFormat="1" ht="25">
      <c r="A26" s="479" t="str">
        <f>IF(TBL_Q_10_Tech_All[[#This Row],[Sub_No]]="N/A", TBL_Q_10_Tech_All[[#This Row],[Q_No]], CONCATENATE(TBL_Q_10_Tech_All[[#This Row],[Q_No]], TBL_Q_10_Tech_All[[#This Row],[Sub_No]]))</f>
        <v>Q4.2.2</v>
      </c>
      <c r="B26" s="120" t="str">
        <f t="array" ref="B2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6" s="480"/>
      <c r="D26" s="486" t="str">
        <f>IF(TBL_Q_10_Tech_All[[#This Row],[Shade?]]="Shade", "", IF(TBL_Q_10_Tech_All[[#This Row],[Type]]="Question", IF(TBL_Q_10_Tech_All[[#This Row],[Response]]&lt;&gt;"", "Done", "Add"), ""))</f>
        <v/>
      </c>
      <c r="E26" s="487" t="s">
        <v>332</v>
      </c>
      <c r="F26" s="474" t="s">
        <v>1314</v>
      </c>
      <c r="G26" s="475" t="s">
        <v>572</v>
      </c>
      <c r="H26" s="476" t="str" cm="1">
        <f t="array" ref="H26">IF($G$4="No", "Shade", IF(OR(INDEX(TBL_ADD_04_Qs_All[Question / Sub-question], MATCH(1, (TBL_Q_10_Tech_All[[#This Row],[Q_No]]=TBL_ADD_04_Qs_All[Q.])*("Question"=TBL_ADD_04_Qs_All[Type])*("Tech"=TBL_ADD_04_Qs_All[Section]),0))="Not used", TBL_Q_10_Tech_All[[#This Row],[Question]]="Not used
"), "Shade", ""))</f>
        <v>Shade</v>
      </c>
    </row>
    <row r="27" spans="1:8" s="100" customFormat="1" ht="25">
      <c r="A27" s="479" t="str">
        <f>IF(TBL_Q_10_Tech_All[[#This Row],[Sub_No]]="N/A", TBL_Q_10_Tech_All[[#This Row],[Q_No]], CONCATENATE(TBL_Q_10_Tech_All[[#This Row],[Q_No]], TBL_Q_10_Tech_All[[#This Row],[Sub_No]]))</f>
        <v>Q4.2.3</v>
      </c>
      <c r="B27" s="120" t="str">
        <f t="array" ref="B2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7" s="480"/>
      <c r="D27" s="486" t="str">
        <f>IF(TBL_Q_10_Tech_All[[#This Row],[Shade?]]="Shade", "", IF(TBL_Q_10_Tech_All[[#This Row],[Type]]="Question", IF(TBL_Q_10_Tech_All[[#This Row],[Response]]&lt;&gt;"", "Done", "Add"), ""))</f>
        <v/>
      </c>
      <c r="E27" s="487" t="s">
        <v>332</v>
      </c>
      <c r="F27" s="474" t="s">
        <v>1314</v>
      </c>
      <c r="G27" s="475" t="s">
        <v>569</v>
      </c>
      <c r="H27" s="476" t="str" cm="1">
        <f t="array" ref="H27">IF($G$4="No", "Shade", IF(OR(INDEX(TBL_ADD_04_Qs_All[Question / Sub-question], MATCH(1, (TBL_Q_10_Tech_All[[#This Row],[Q_No]]=TBL_ADD_04_Qs_All[Q.])*("Question"=TBL_ADD_04_Qs_All[Type])*("Tech"=TBL_ADD_04_Qs_All[Section]),0))="Not used", TBL_Q_10_Tech_All[[#This Row],[Question]]="Not used
"), "Shade", ""))</f>
        <v>Shade</v>
      </c>
    </row>
    <row r="28" spans="1:8" s="100" customFormat="1" ht="25">
      <c r="A28" s="479" t="str">
        <f>IF(TBL_Q_10_Tech_All[[#This Row],[Sub_No]]="N/A", TBL_Q_10_Tech_All[[#This Row],[Q_No]], CONCATENATE(TBL_Q_10_Tech_All[[#This Row],[Q_No]], TBL_Q_10_Tech_All[[#This Row],[Sub_No]]))</f>
        <v>Q4.2.4</v>
      </c>
      <c r="B28" s="120" t="str">
        <f t="array" ref="B2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8" s="480"/>
      <c r="D28" s="486" t="str">
        <f>IF(TBL_Q_10_Tech_All[[#This Row],[Shade?]]="Shade", "", IF(TBL_Q_10_Tech_All[[#This Row],[Type]]="Question", IF(TBL_Q_10_Tech_All[[#This Row],[Response]]&lt;&gt;"", "Done", "Add"), ""))</f>
        <v/>
      </c>
      <c r="E28" s="487" t="s">
        <v>332</v>
      </c>
      <c r="F28" s="474" t="s">
        <v>1314</v>
      </c>
      <c r="G28" s="475" t="s">
        <v>570</v>
      </c>
      <c r="H28" s="476" t="str" cm="1">
        <f t="array" ref="H28">IF($G$4="No", "Shade", IF(OR(INDEX(TBL_ADD_04_Qs_All[Question / Sub-question], MATCH(1, (TBL_Q_10_Tech_All[[#This Row],[Q_No]]=TBL_ADD_04_Qs_All[Q.])*("Question"=TBL_ADD_04_Qs_All[Type])*("Tech"=TBL_ADD_04_Qs_All[Section]),0))="Not used", TBL_Q_10_Tech_All[[#This Row],[Question]]="Not used
"), "Shade", ""))</f>
        <v>Shade</v>
      </c>
    </row>
    <row r="29" spans="1:8" s="100" customFormat="1" ht="25">
      <c r="A29" s="479" t="str">
        <f>IF(TBL_Q_10_Tech_All[[#This Row],[Sub_No]]="N/A", TBL_Q_10_Tech_All[[#This Row],[Q_No]], CONCATENATE(TBL_Q_10_Tech_All[[#This Row],[Q_No]], TBL_Q_10_Tech_All[[#This Row],[Sub_No]]))</f>
        <v>Q4.2.5</v>
      </c>
      <c r="B29" s="120" t="str">
        <f t="array" ref="B2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29" s="480"/>
      <c r="D29" s="486" t="str">
        <f>IF(TBL_Q_10_Tech_All[[#This Row],[Shade?]]="Shade", "", IF(TBL_Q_10_Tech_All[[#This Row],[Type]]="Question", IF(TBL_Q_10_Tech_All[[#This Row],[Response]]&lt;&gt;"", "Done", "Add"), ""))</f>
        <v/>
      </c>
      <c r="E29" s="487" t="s">
        <v>332</v>
      </c>
      <c r="F29" s="474" t="s">
        <v>1314</v>
      </c>
      <c r="G29" s="475" t="s">
        <v>571</v>
      </c>
      <c r="H29" s="476" t="str" cm="1">
        <f t="array" ref="H29">IF($G$4="No", "Shade", IF(OR(INDEX(TBL_ADD_04_Qs_All[Question / Sub-question], MATCH(1, (TBL_Q_10_Tech_All[[#This Row],[Q_No]]=TBL_ADD_04_Qs_All[Q.])*("Question"=TBL_ADD_04_Qs_All[Type])*("Tech"=TBL_ADD_04_Qs_All[Section]),0))="Not used", TBL_Q_10_Tech_All[[#This Row],[Question]]="Not used
"), "Shade", ""))</f>
        <v>Shade</v>
      </c>
    </row>
    <row r="30" spans="1:8" s="100" customFormat="1" ht="25">
      <c r="A30" s="479" t="str">
        <f>IF(TBL_Q_10_Tech_All[[#This Row],[Sub_No]]="N/A", TBL_Q_10_Tech_All[[#This Row],[Q_No]], CONCATENATE(TBL_Q_10_Tech_All[[#This Row],[Q_No]], TBL_Q_10_Tech_All[[#This Row],[Sub_No]]))</f>
        <v>Q4.2.6</v>
      </c>
      <c r="B30" s="120" t="str">
        <f t="array" ref="B3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0" s="480"/>
      <c r="D30" s="486" t="str">
        <f>IF(TBL_Q_10_Tech_All[[#This Row],[Shade?]]="Shade", "", IF(TBL_Q_10_Tech_All[[#This Row],[Type]]="Question", IF(TBL_Q_10_Tech_All[[#This Row],[Response]]&lt;&gt;"", "Done", "Add"), ""))</f>
        <v/>
      </c>
      <c r="E30" s="487" t="s">
        <v>332</v>
      </c>
      <c r="F30" s="474" t="s">
        <v>1314</v>
      </c>
      <c r="G30" s="475" t="s">
        <v>573</v>
      </c>
      <c r="H30" s="476" t="str" cm="1">
        <f t="array" ref="H30">IF($G$4="No", "Shade", IF(OR(INDEX(TBL_ADD_04_Qs_All[Question / Sub-question], MATCH(1, (TBL_Q_10_Tech_All[[#This Row],[Q_No]]=TBL_ADD_04_Qs_All[Q.])*("Question"=TBL_ADD_04_Qs_All[Type])*("Tech"=TBL_ADD_04_Qs_All[Section]),0))="Not used", TBL_Q_10_Tech_All[[#This Row],[Question]]="Not used
"), "Shade", ""))</f>
        <v>Shade</v>
      </c>
    </row>
    <row r="31" spans="1:8" s="100" customFormat="1" ht="25">
      <c r="A31" s="479" t="str">
        <f>IF(TBL_Q_10_Tech_All[[#This Row],[Sub_No]]="N/A", TBL_Q_10_Tech_All[[#This Row],[Q_No]], CONCATENATE(TBL_Q_10_Tech_All[[#This Row],[Q_No]], TBL_Q_10_Tech_All[[#This Row],[Sub_No]]))</f>
        <v>Q4.2.7</v>
      </c>
      <c r="B31" s="120" t="str">
        <f t="array" ref="B3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1" s="480"/>
      <c r="D31" s="486" t="str">
        <f>IF(TBL_Q_10_Tech_All[[#This Row],[Shade?]]="Shade", "", IF(TBL_Q_10_Tech_All[[#This Row],[Type]]="Question", IF(TBL_Q_10_Tech_All[[#This Row],[Response]]&lt;&gt;"", "Done", "Add"), ""))</f>
        <v/>
      </c>
      <c r="E31" s="487" t="s">
        <v>332</v>
      </c>
      <c r="F31" s="474" t="s">
        <v>1314</v>
      </c>
      <c r="G31" s="475" t="s">
        <v>574</v>
      </c>
      <c r="H31" s="476" t="str" cm="1">
        <f t="array" ref="H31">IF($G$4="No", "Shade", IF(OR(INDEX(TBL_ADD_04_Qs_All[Question / Sub-question], MATCH(1, (TBL_Q_10_Tech_All[[#This Row],[Q_No]]=TBL_ADD_04_Qs_All[Q.])*("Question"=TBL_ADD_04_Qs_All[Type])*("Tech"=TBL_ADD_04_Qs_All[Section]),0))="Not used", TBL_Q_10_Tech_All[[#This Row],[Question]]="Not used
"), "Shade", ""))</f>
        <v>Shade</v>
      </c>
    </row>
    <row r="32" spans="1:8" s="100" customFormat="1" ht="25">
      <c r="A32" s="479" t="str">
        <f>IF(TBL_Q_10_Tech_All[[#This Row],[Sub_No]]="N/A", TBL_Q_10_Tech_All[[#This Row],[Q_No]], CONCATENATE(TBL_Q_10_Tech_All[[#This Row],[Q_No]], TBL_Q_10_Tech_All[[#This Row],[Sub_No]]))</f>
        <v>Q4.2.8</v>
      </c>
      <c r="B32" s="120" t="str">
        <f t="array" ref="B3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2" s="480"/>
      <c r="D32" s="486" t="str">
        <f>IF(TBL_Q_10_Tech_All[[#This Row],[Shade?]]="Shade", "", IF(TBL_Q_10_Tech_All[[#This Row],[Type]]="Question", IF(TBL_Q_10_Tech_All[[#This Row],[Response]]&lt;&gt;"", "Done", "Add"), ""))</f>
        <v/>
      </c>
      <c r="E32" s="487" t="s">
        <v>332</v>
      </c>
      <c r="F32" s="474" t="s">
        <v>1314</v>
      </c>
      <c r="G32" s="475" t="s">
        <v>575</v>
      </c>
      <c r="H32" s="476" t="str" cm="1">
        <f t="array" ref="H32">IF($G$4="No", "Shade", IF(OR(INDEX(TBL_ADD_04_Qs_All[Question / Sub-question], MATCH(1, (TBL_Q_10_Tech_All[[#This Row],[Q_No]]=TBL_ADD_04_Qs_All[Q.])*("Question"=TBL_ADD_04_Qs_All[Type])*("Tech"=TBL_ADD_04_Qs_All[Section]),0))="Not used", TBL_Q_10_Tech_All[[#This Row],[Question]]="Not used
"), "Shade", ""))</f>
        <v>Shade</v>
      </c>
    </row>
    <row r="33" spans="1:8" s="100" customFormat="1" ht="25">
      <c r="A33" s="479" t="str">
        <f>IF(TBL_Q_10_Tech_All[[#This Row],[Sub_No]]="N/A", TBL_Q_10_Tech_All[[#This Row],[Q_No]], CONCATENATE(TBL_Q_10_Tech_All[[#This Row],[Q_No]], TBL_Q_10_Tech_All[[#This Row],[Sub_No]]))</f>
        <v>Q4.2.9</v>
      </c>
      <c r="B33" s="120" t="str">
        <f t="array" ref="B3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3" s="480"/>
      <c r="D33" s="486" t="str">
        <f>IF(TBL_Q_10_Tech_All[[#This Row],[Shade?]]="Shade", "", IF(TBL_Q_10_Tech_All[[#This Row],[Type]]="Question", IF(TBL_Q_10_Tech_All[[#This Row],[Response]]&lt;&gt;"", "Done", "Add"), ""))</f>
        <v/>
      </c>
      <c r="E33" s="487" t="s">
        <v>332</v>
      </c>
      <c r="F33" s="474" t="s">
        <v>1314</v>
      </c>
      <c r="G33" s="475" t="s">
        <v>576</v>
      </c>
      <c r="H33" s="476" t="str" cm="1">
        <f t="array" ref="H33">IF($G$4="No", "Shade", IF(OR(INDEX(TBL_ADD_04_Qs_All[Question / Sub-question], MATCH(1, (TBL_Q_10_Tech_All[[#This Row],[Q_No]]=TBL_ADD_04_Qs_All[Q.])*("Question"=TBL_ADD_04_Qs_All[Type])*("Tech"=TBL_ADD_04_Qs_All[Section]),0))="Not used", TBL_Q_10_Tech_All[[#This Row],[Question]]="Not used
"), "Shade", ""))</f>
        <v>Shade</v>
      </c>
    </row>
    <row r="34" spans="1:8" s="100" customFormat="1" ht="25">
      <c r="A34" s="481" t="str">
        <f>IF(TBL_Q_10_Tech_All[[#This Row],[Sub_No]]="N/A", TBL_Q_10_Tech_All[[#This Row],[Q_No]], CONCATENATE(TBL_Q_10_Tech_All[[#This Row],[Q_No]], TBL_Q_10_Tech_All[[#This Row],[Sub_No]]))</f>
        <v>Q4.2.10</v>
      </c>
      <c r="B34" s="482" t="str">
        <f t="array" ref="B3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4" s="483"/>
      <c r="D34" s="486" t="str">
        <f>IF(TBL_Q_10_Tech_All[[#This Row],[Shade?]]="Shade", "", IF(TBL_Q_10_Tech_All[[#This Row],[Type]]="Question", IF(TBL_Q_10_Tech_All[[#This Row],[Response]]&lt;&gt;"", "Done", "Add"), ""))</f>
        <v/>
      </c>
      <c r="E34" s="487" t="s">
        <v>332</v>
      </c>
      <c r="F34" s="474" t="s">
        <v>1314</v>
      </c>
      <c r="G34" s="475" t="s">
        <v>577</v>
      </c>
      <c r="H34" s="476" t="str" cm="1">
        <f t="array" ref="H34">IF($G$4="No", "Shade", IF(OR(INDEX(TBL_ADD_04_Qs_All[Question / Sub-question], MATCH(1, (TBL_Q_10_Tech_All[[#This Row],[Q_No]]=TBL_ADD_04_Qs_All[Q.])*("Question"=TBL_ADD_04_Qs_All[Type])*("Tech"=TBL_ADD_04_Qs_All[Section]),0))="Not used", TBL_Q_10_Tech_All[[#This Row],[Question]]="Not used
"), "Shade", ""))</f>
        <v>Shade</v>
      </c>
    </row>
    <row r="35" spans="1:8" s="100" customFormat="1" ht="26">
      <c r="A35" s="71" t="str">
        <f>IF(TBL_Q_10_Tech_All[[#This Row],[Sub_No]]="N/A", TBL_Q_10_Tech_All[[#This Row],[Q_No]], CONCATENATE(TBL_Q_10_Tech_All[[#This Row],[Q_No]], TBL_Q_10_Tech_All[[#This Row],[Sub_No]]))</f>
        <v>Q4.3</v>
      </c>
      <c r="B35" s="73" t="str">
        <f t="array" ref="B3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5" s="473"/>
      <c r="D35" s="486" t="str">
        <f>IF(TBL_Q_10_Tech_All[[#This Row],[Shade?]]="Shade", "", IF(TBL_Q_10_Tech_All[[#This Row],[Type]]="Question", IF(TBL_Q_10_Tech_All[[#This Row],[Response]]&lt;&gt;"", "Done", "Add"), ""))</f>
        <v/>
      </c>
      <c r="E35" s="487" t="s">
        <v>146</v>
      </c>
      <c r="F35" s="474" t="s">
        <v>1315</v>
      </c>
      <c r="G35" s="475" t="s">
        <v>24</v>
      </c>
      <c r="H35" s="476" t="str" cm="1">
        <f t="array" ref="H35">IF($G$4="No", "Shade", IF(OR(INDEX(TBL_ADD_04_Qs_All[Question / Sub-question], MATCH(1, (TBL_Q_10_Tech_All[[#This Row],[Q_No]]=TBL_ADD_04_Qs_All[Q.])*("Question"=TBL_ADD_04_Qs_All[Type])*("Tech"=TBL_ADD_04_Qs_All[Section]),0))="Not used", TBL_Q_10_Tech_All[[#This Row],[Question]]="Not used
"), "Shade", ""))</f>
        <v>Shade</v>
      </c>
    </row>
    <row r="36" spans="1:8" s="100" customFormat="1" ht="26">
      <c r="A36" s="477" t="str">
        <f>IF(TBL_Q_10_Tech_All[[#This Row],[Sub_No]]="N/A", TBL_Q_10_Tech_All[[#This Row],[Q_No]], CONCATENATE(TBL_Q_10_Tech_All[[#This Row],[Q_No]], TBL_Q_10_Tech_All[[#This Row],[Sub_No]]))</f>
        <v>Q4.3</v>
      </c>
      <c r="B36" s="120" t="str">
        <f t="array" ref="B3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6" s="478"/>
      <c r="D36" s="486" t="str">
        <f>IF(TBL_Q_10_Tech_All[[#This Row],[Shade?]]="Shade", "", IF(TBL_Q_10_Tech_All[[#This Row],[Type]]="Question", IF(TBL_Q_10_Tech_All[[#This Row],[Response]]&lt;&gt;"", "Done", "Add"), ""))</f>
        <v/>
      </c>
      <c r="E36" s="487" t="s">
        <v>348</v>
      </c>
      <c r="F36" s="474" t="s">
        <v>1315</v>
      </c>
      <c r="G36" s="475" t="s">
        <v>24</v>
      </c>
      <c r="H36" s="476" t="str" cm="1">
        <f t="array" ref="H36">IF($G$4="No", "Shade", IF(OR(INDEX(TBL_ADD_04_Qs_All[Question / Sub-question], MATCH(1, (TBL_Q_10_Tech_All[[#This Row],[Q_No]]=TBL_ADD_04_Qs_All[Q.])*("Question"=TBL_ADD_04_Qs_All[Type])*("Tech"=TBL_ADD_04_Qs_All[Section]),0))="Not used", TBL_Q_10_Tech_All[[#This Row],[Question]]="Not used
"), "Shade", ""))</f>
        <v>Shade</v>
      </c>
    </row>
    <row r="37" spans="1:8" s="100" customFormat="1" ht="25">
      <c r="A37" s="479" t="str">
        <f>IF(TBL_Q_10_Tech_All[[#This Row],[Sub_No]]="N/A", TBL_Q_10_Tech_All[[#This Row],[Q_No]], CONCATENATE(TBL_Q_10_Tech_All[[#This Row],[Q_No]], TBL_Q_10_Tech_All[[#This Row],[Sub_No]]))</f>
        <v>Q4.3.1</v>
      </c>
      <c r="B37" s="120" t="str">
        <f t="array" ref="B3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7" s="480"/>
      <c r="D37" s="486" t="str">
        <f>IF(TBL_Q_10_Tech_All[[#This Row],[Shade?]]="Shade", "", IF(TBL_Q_10_Tech_All[[#This Row],[Type]]="Question", IF(TBL_Q_10_Tech_All[[#This Row],[Response]]&lt;&gt;"", "Done", "Add"), ""))</f>
        <v/>
      </c>
      <c r="E37" s="487" t="s">
        <v>332</v>
      </c>
      <c r="F37" s="474" t="s">
        <v>1315</v>
      </c>
      <c r="G37" s="475" t="s">
        <v>568</v>
      </c>
      <c r="H37" s="476" t="str" cm="1">
        <f t="array" ref="H37">IF($G$4="No", "Shade", IF(OR(INDEX(TBL_ADD_04_Qs_All[Question / Sub-question], MATCH(1, (TBL_Q_10_Tech_All[[#This Row],[Q_No]]=TBL_ADD_04_Qs_All[Q.])*("Question"=TBL_ADD_04_Qs_All[Type])*("Tech"=TBL_ADD_04_Qs_All[Section]),0))="Not used", TBL_Q_10_Tech_All[[#This Row],[Question]]="Not used
"), "Shade", ""))</f>
        <v>Shade</v>
      </c>
    </row>
    <row r="38" spans="1:8" s="100" customFormat="1" ht="25">
      <c r="A38" s="479" t="str">
        <f>IF(TBL_Q_10_Tech_All[[#This Row],[Sub_No]]="N/A", TBL_Q_10_Tech_All[[#This Row],[Q_No]], CONCATENATE(TBL_Q_10_Tech_All[[#This Row],[Q_No]], TBL_Q_10_Tech_All[[#This Row],[Sub_No]]))</f>
        <v>Q4.3.2</v>
      </c>
      <c r="B38" s="120" t="str">
        <f t="array" ref="B3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8" s="480"/>
      <c r="D38" s="486" t="str">
        <f>IF(TBL_Q_10_Tech_All[[#This Row],[Shade?]]="Shade", "", IF(TBL_Q_10_Tech_All[[#This Row],[Type]]="Question", IF(TBL_Q_10_Tech_All[[#This Row],[Response]]&lt;&gt;"", "Done", "Add"), ""))</f>
        <v/>
      </c>
      <c r="E38" s="487" t="s">
        <v>332</v>
      </c>
      <c r="F38" s="474" t="s">
        <v>1315</v>
      </c>
      <c r="G38" s="475" t="s">
        <v>572</v>
      </c>
      <c r="H38" s="476" t="str" cm="1">
        <f t="array" ref="H38">IF($G$4="No", "Shade", IF(OR(INDEX(TBL_ADD_04_Qs_All[Question / Sub-question], MATCH(1, (TBL_Q_10_Tech_All[[#This Row],[Q_No]]=TBL_ADD_04_Qs_All[Q.])*("Question"=TBL_ADD_04_Qs_All[Type])*("Tech"=TBL_ADD_04_Qs_All[Section]),0))="Not used", TBL_Q_10_Tech_All[[#This Row],[Question]]="Not used
"), "Shade", ""))</f>
        <v>Shade</v>
      </c>
    </row>
    <row r="39" spans="1:8" s="100" customFormat="1" ht="25">
      <c r="A39" s="479" t="str">
        <f>IF(TBL_Q_10_Tech_All[[#This Row],[Sub_No]]="N/A", TBL_Q_10_Tech_All[[#This Row],[Q_No]], CONCATENATE(TBL_Q_10_Tech_All[[#This Row],[Q_No]], TBL_Q_10_Tech_All[[#This Row],[Sub_No]]))</f>
        <v>Q4.3.3</v>
      </c>
      <c r="B39" s="120" t="str">
        <f t="array" ref="B3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39" s="480"/>
      <c r="D39" s="486" t="str">
        <f>IF(TBL_Q_10_Tech_All[[#This Row],[Shade?]]="Shade", "", IF(TBL_Q_10_Tech_All[[#This Row],[Type]]="Question", IF(TBL_Q_10_Tech_All[[#This Row],[Response]]&lt;&gt;"", "Done", "Add"), ""))</f>
        <v/>
      </c>
      <c r="E39" s="487" t="s">
        <v>332</v>
      </c>
      <c r="F39" s="474" t="s">
        <v>1315</v>
      </c>
      <c r="G39" s="475" t="s">
        <v>569</v>
      </c>
      <c r="H39" s="476" t="str" cm="1">
        <f t="array" ref="H39">IF($G$4="No", "Shade", IF(OR(INDEX(TBL_ADD_04_Qs_All[Question / Sub-question], MATCH(1, (TBL_Q_10_Tech_All[[#This Row],[Q_No]]=TBL_ADD_04_Qs_All[Q.])*("Question"=TBL_ADD_04_Qs_All[Type])*("Tech"=TBL_ADD_04_Qs_All[Section]),0))="Not used", TBL_Q_10_Tech_All[[#This Row],[Question]]="Not used
"), "Shade", ""))</f>
        <v>Shade</v>
      </c>
    </row>
    <row r="40" spans="1:8" s="100" customFormat="1" ht="25">
      <c r="A40" s="479" t="str">
        <f>IF(TBL_Q_10_Tech_All[[#This Row],[Sub_No]]="N/A", TBL_Q_10_Tech_All[[#This Row],[Q_No]], CONCATENATE(TBL_Q_10_Tech_All[[#This Row],[Q_No]], TBL_Q_10_Tech_All[[#This Row],[Sub_No]]))</f>
        <v>Q4.3.4</v>
      </c>
      <c r="B40" s="120" t="str">
        <f t="array" ref="B4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0" s="480"/>
      <c r="D40" s="486" t="str">
        <f>IF(TBL_Q_10_Tech_All[[#This Row],[Shade?]]="Shade", "", IF(TBL_Q_10_Tech_All[[#This Row],[Type]]="Question", IF(TBL_Q_10_Tech_All[[#This Row],[Response]]&lt;&gt;"", "Done", "Add"), ""))</f>
        <v/>
      </c>
      <c r="E40" s="487" t="s">
        <v>332</v>
      </c>
      <c r="F40" s="474" t="s">
        <v>1315</v>
      </c>
      <c r="G40" s="475" t="s">
        <v>570</v>
      </c>
      <c r="H40" s="476" t="str" cm="1">
        <f t="array" ref="H40">IF($G$4="No", "Shade", IF(OR(INDEX(TBL_ADD_04_Qs_All[Question / Sub-question], MATCH(1, (TBL_Q_10_Tech_All[[#This Row],[Q_No]]=TBL_ADD_04_Qs_All[Q.])*("Question"=TBL_ADD_04_Qs_All[Type])*("Tech"=TBL_ADD_04_Qs_All[Section]),0))="Not used", TBL_Q_10_Tech_All[[#This Row],[Question]]="Not used
"), "Shade", ""))</f>
        <v>Shade</v>
      </c>
    </row>
    <row r="41" spans="1:8" s="100" customFormat="1" ht="25">
      <c r="A41" s="479" t="str">
        <f>IF(TBL_Q_10_Tech_All[[#This Row],[Sub_No]]="N/A", TBL_Q_10_Tech_All[[#This Row],[Q_No]], CONCATENATE(TBL_Q_10_Tech_All[[#This Row],[Q_No]], TBL_Q_10_Tech_All[[#This Row],[Sub_No]]))</f>
        <v>Q4.3.5</v>
      </c>
      <c r="B41" s="120" t="str">
        <f t="array" ref="B4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1" s="480"/>
      <c r="D41" s="486" t="str">
        <f>IF(TBL_Q_10_Tech_All[[#This Row],[Shade?]]="Shade", "", IF(TBL_Q_10_Tech_All[[#This Row],[Type]]="Question", IF(TBL_Q_10_Tech_All[[#This Row],[Response]]&lt;&gt;"", "Done", "Add"), ""))</f>
        <v/>
      </c>
      <c r="E41" s="487" t="s">
        <v>332</v>
      </c>
      <c r="F41" s="474" t="s">
        <v>1315</v>
      </c>
      <c r="G41" s="475" t="s">
        <v>571</v>
      </c>
      <c r="H41" s="476" t="str" cm="1">
        <f t="array" ref="H41">IF($G$4="No", "Shade", IF(OR(INDEX(TBL_ADD_04_Qs_All[Question / Sub-question], MATCH(1, (TBL_Q_10_Tech_All[[#This Row],[Q_No]]=TBL_ADD_04_Qs_All[Q.])*("Question"=TBL_ADD_04_Qs_All[Type])*("Tech"=TBL_ADD_04_Qs_All[Section]),0))="Not used", TBL_Q_10_Tech_All[[#This Row],[Question]]="Not used
"), "Shade", ""))</f>
        <v>Shade</v>
      </c>
    </row>
    <row r="42" spans="1:8" s="100" customFormat="1" ht="25">
      <c r="A42" s="479" t="str">
        <f>IF(TBL_Q_10_Tech_All[[#This Row],[Sub_No]]="N/A", TBL_Q_10_Tech_All[[#This Row],[Q_No]], CONCATENATE(TBL_Q_10_Tech_All[[#This Row],[Q_No]], TBL_Q_10_Tech_All[[#This Row],[Sub_No]]))</f>
        <v>Q4.3.6</v>
      </c>
      <c r="B42" s="120" t="str">
        <f t="array" ref="B4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2" s="480"/>
      <c r="D42" s="486" t="str">
        <f>IF(TBL_Q_10_Tech_All[[#This Row],[Shade?]]="Shade", "", IF(TBL_Q_10_Tech_All[[#This Row],[Type]]="Question", IF(TBL_Q_10_Tech_All[[#This Row],[Response]]&lt;&gt;"", "Done", "Add"), ""))</f>
        <v/>
      </c>
      <c r="E42" s="487" t="s">
        <v>332</v>
      </c>
      <c r="F42" s="474" t="s">
        <v>1315</v>
      </c>
      <c r="G42" s="475" t="s">
        <v>573</v>
      </c>
      <c r="H42" s="476" t="str" cm="1">
        <f t="array" ref="H42">IF($G$4="No", "Shade", IF(OR(INDEX(TBL_ADD_04_Qs_All[Question / Sub-question], MATCH(1, (TBL_Q_10_Tech_All[[#This Row],[Q_No]]=TBL_ADD_04_Qs_All[Q.])*("Question"=TBL_ADD_04_Qs_All[Type])*("Tech"=TBL_ADD_04_Qs_All[Section]),0))="Not used", TBL_Q_10_Tech_All[[#This Row],[Question]]="Not used
"), "Shade", ""))</f>
        <v>Shade</v>
      </c>
    </row>
    <row r="43" spans="1:8" s="100" customFormat="1" ht="25">
      <c r="A43" s="479" t="str">
        <f>IF(TBL_Q_10_Tech_All[[#This Row],[Sub_No]]="N/A", TBL_Q_10_Tech_All[[#This Row],[Q_No]], CONCATENATE(TBL_Q_10_Tech_All[[#This Row],[Q_No]], TBL_Q_10_Tech_All[[#This Row],[Sub_No]]))</f>
        <v>Q4.3.7</v>
      </c>
      <c r="B43" s="120" t="str">
        <f t="array" ref="B4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3" s="480"/>
      <c r="D43" s="486" t="str">
        <f>IF(TBL_Q_10_Tech_All[[#This Row],[Shade?]]="Shade", "", IF(TBL_Q_10_Tech_All[[#This Row],[Type]]="Question", IF(TBL_Q_10_Tech_All[[#This Row],[Response]]&lt;&gt;"", "Done", "Add"), ""))</f>
        <v/>
      </c>
      <c r="E43" s="487" t="s">
        <v>332</v>
      </c>
      <c r="F43" s="474" t="s">
        <v>1315</v>
      </c>
      <c r="G43" s="475" t="s">
        <v>574</v>
      </c>
      <c r="H43" s="476" t="str" cm="1">
        <f t="array" ref="H43">IF($G$4="No", "Shade", IF(OR(INDEX(TBL_ADD_04_Qs_All[Question / Sub-question], MATCH(1, (TBL_Q_10_Tech_All[[#This Row],[Q_No]]=TBL_ADD_04_Qs_All[Q.])*("Question"=TBL_ADD_04_Qs_All[Type])*("Tech"=TBL_ADD_04_Qs_All[Section]),0))="Not used", TBL_Q_10_Tech_All[[#This Row],[Question]]="Not used
"), "Shade", ""))</f>
        <v>Shade</v>
      </c>
    </row>
    <row r="44" spans="1:8" s="100" customFormat="1" ht="25">
      <c r="A44" s="479" t="str">
        <f>IF(TBL_Q_10_Tech_All[[#This Row],[Sub_No]]="N/A", TBL_Q_10_Tech_All[[#This Row],[Q_No]], CONCATENATE(TBL_Q_10_Tech_All[[#This Row],[Q_No]], TBL_Q_10_Tech_All[[#This Row],[Sub_No]]))</f>
        <v>Q4.3.8</v>
      </c>
      <c r="B44" s="120" t="str">
        <f t="array" ref="B4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4" s="480"/>
      <c r="D44" s="486" t="str">
        <f>IF(TBL_Q_10_Tech_All[[#This Row],[Shade?]]="Shade", "", IF(TBL_Q_10_Tech_All[[#This Row],[Type]]="Question", IF(TBL_Q_10_Tech_All[[#This Row],[Response]]&lt;&gt;"", "Done", "Add"), ""))</f>
        <v/>
      </c>
      <c r="E44" s="487" t="s">
        <v>332</v>
      </c>
      <c r="F44" s="474" t="s">
        <v>1315</v>
      </c>
      <c r="G44" s="475" t="s">
        <v>575</v>
      </c>
      <c r="H44" s="476" t="str" cm="1">
        <f t="array" ref="H44">IF($G$4="No", "Shade", IF(OR(INDEX(TBL_ADD_04_Qs_All[Question / Sub-question], MATCH(1, (TBL_Q_10_Tech_All[[#This Row],[Q_No]]=TBL_ADD_04_Qs_All[Q.])*("Question"=TBL_ADD_04_Qs_All[Type])*("Tech"=TBL_ADD_04_Qs_All[Section]),0))="Not used", TBL_Q_10_Tech_All[[#This Row],[Question]]="Not used
"), "Shade", ""))</f>
        <v>Shade</v>
      </c>
    </row>
    <row r="45" spans="1:8" s="100" customFormat="1" ht="25">
      <c r="A45" s="479" t="str">
        <f>IF(TBL_Q_10_Tech_All[[#This Row],[Sub_No]]="N/A", TBL_Q_10_Tech_All[[#This Row],[Q_No]], CONCATENATE(TBL_Q_10_Tech_All[[#This Row],[Q_No]], TBL_Q_10_Tech_All[[#This Row],[Sub_No]]))</f>
        <v>Q4.3.9</v>
      </c>
      <c r="B45" s="120" t="str">
        <f t="array" ref="B4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5" s="480"/>
      <c r="D45" s="486" t="str">
        <f>IF(TBL_Q_10_Tech_All[[#This Row],[Shade?]]="Shade", "", IF(TBL_Q_10_Tech_All[[#This Row],[Type]]="Question", IF(TBL_Q_10_Tech_All[[#This Row],[Response]]&lt;&gt;"", "Done", "Add"), ""))</f>
        <v/>
      </c>
      <c r="E45" s="487" t="s">
        <v>332</v>
      </c>
      <c r="F45" s="474" t="s">
        <v>1315</v>
      </c>
      <c r="G45" s="475" t="s">
        <v>576</v>
      </c>
      <c r="H45" s="476" t="str" cm="1">
        <f t="array" ref="H45">IF($G$4="No", "Shade", IF(OR(INDEX(TBL_ADD_04_Qs_All[Question / Sub-question], MATCH(1, (TBL_Q_10_Tech_All[[#This Row],[Q_No]]=TBL_ADD_04_Qs_All[Q.])*("Question"=TBL_ADD_04_Qs_All[Type])*("Tech"=TBL_ADD_04_Qs_All[Section]),0))="Not used", TBL_Q_10_Tech_All[[#This Row],[Question]]="Not used
"), "Shade", ""))</f>
        <v>Shade</v>
      </c>
    </row>
    <row r="46" spans="1:8" s="100" customFormat="1" ht="25">
      <c r="A46" s="481" t="str">
        <f>IF(TBL_Q_10_Tech_All[[#This Row],[Sub_No]]="N/A", TBL_Q_10_Tech_All[[#This Row],[Q_No]], CONCATENATE(TBL_Q_10_Tech_All[[#This Row],[Q_No]], TBL_Q_10_Tech_All[[#This Row],[Sub_No]]))</f>
        <v>Q4.3.10</v>
      </c>
      <c r="B46" s="482" t="str">
        <f t="array" ref="B4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6" s="483"/>
      <c r="D46" s="486" t="str">
        <f>IF(TBL_Q_10_Tech_All[[#This Row],[Shade?]]="Shade", "", IF(TBL_Q_10_Tech_All[[#This Row],[Type]]="Question", IF(TBL_Q_10_Tech_All[[#This Row],[Response]]&lt;&gt;"", "Done", "Add"), ""))</f>
        <v/>
      </c>
      <c r="E46" s="487" t="s">
        <v>332</v>
      </c>
      <c r="F46" s="474" t="s">
        <v>1315</v>
      </c>
      <c r="G46" s="475" t="s">
        <v>577</v>
      </c>
      <c r="H46" s="476" t="str" cm="1">
        <f t="array" ref="H46">IF($G$4="No", "Shade", IF(OR(INDEX(TBL_ADD_04_Qs_All[Question / Sub-question], MATCH(1, (TBL_Q_10_Tech_All[[#This Row],[Q_No]]=TBL_ADD_04_Qs_All[Q.])*("Question"=TBL_ADD_04_Qs_All[Type])*("Tech"=TBL_ADD_04_Qs_All[Section]),0))="Not used", TBL_Q_10_Tech_All[[#This Row],[Question]]="Not used
"), "Shade", ""))</f>
        <v>Shade</v>
      </c>
    </row>
    <row r="47" spans="1:8" s="100" customFormat="1" ht="26">
      <c r="A47" s="71" t="str">
        <f>IF(TBL_Q_10_Tech_All[[#This Row],[Sub_No]]="N/A", TBL_Q_10_Tech_All[[#This Row],[Q_No]], CONCATENATE(TBL_Q_10_Tech_All[[#This Row],[Q_No]], TBL_Q_10_Tech_All[[#This Row],[Sub_No]]))</f>
        <v>Q4.4</v>
      </c>
      <c r="B47" s="73" t="str">
        <f t="array" ref="B4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7" s="473"/>
      <c r="D47" s="486" t="str">
        <f>IF(TBL_Q_10_Tech_All[[#This Row],[Shade?]]="Shade", "", IF(TBL_Q_10_Tech_All[[#This Row],[Type]]="Question", IF(TBL_Q_10_Tech_All[[#This Row],[Response]]&lt;&gt;"", "Done", "Add"), ""))</f>
        <v/>
      </c>
      <c r="E47" s="487" t="s">
        <v>146</v>
      </c>
      <c r="F47" s="474" t="s">
        <v>1316</v>
      </c>
      <c r="G47" s="475" t="s">
        <v>24</v>
      </c>
      <c r="H47" s="476" t="str" cm="1">
        <f t="array" ref="H47">IF($G$4="No", "Shade", IF(OR(INDEX(TBL_ADD_04_Qs_All[Question / Sub-question], MATCH(1, (TBL_Q_10_Tech_All[[#This Row],[Q_No]]=TBL_ADD_04_Qs_All[Q.])*("Question"=TBL_ADD_04_Qs_All[Type])*("Tech"=TBL_ADD_04_Qs_All[Section]),0))="Not used", TBL_Q_10_Tech_All[[#This Row],[Question]]="Not used
"), "Shade", ""))</f>
        <v>Shade</v>
      </c>
    </row>
    <row r="48" spans="1:8" s="100" customFormat="1" ht="26">
      <c r="A48" s="477" t="str">
        <f>IF(TBL_Q_10_Tech_All[[#This Row],[Sub_No]]="N/A", TBL_Q_10_Tech_All[[#This Row],[Q_No]], CONCATENATE(TBL_Q_10_Tech_All[[#This Row],[Q_No]], TBL_Q_10_Tech_All[[#This Row],[Sub_No]]))</f>
        <v>Q4.4</v>
      </c>
      <c r="B48" s="120" t="str">
        <f t="array" ref="B4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8" s="478"/>
      <c r="D48" s="486" t="str">
        <f>IF(TBL_Q_10_Tech_All[[#This Row],[Shade?]]="Shade", "", IF(TBL_Q_10_Tech_All[[#This Row],[Type]]="Question", IF(TBL_Q_10_Tech_All[[#This Row],[Response]]&lt;&gt;"", "Done", "Add"), ""))</f>
        <v/>
      </c>
      <c r="E48" s="487" t="s">
        <v>348</v>
      </c>
      <c r="F48" s="474" t="s">
        <v>1316</v>
      </c>
      <c r="G48" s="475" t="s">
        <v>24</v>
      </c>
      <c r="H48" s="476" t="str" cm="1">
        <f t="array" ref="H48">IF($G$4="No", "Shade", IF(OR(INDEX(TBL_ADD_04_Qs_All[Question / Sub-question], MATCH(1, (TBL_Q_10_Tech_All[[#This Row],[Q_No]]=TBL_ADD_04_Qs_All[Q.])*("Question"=TBL_ADD_04_Qs_All[Type])*("Tech"=TBL_ADD_04_Qs_All[Section]),0))="Not used", TBL_Q_10_Tech_All[[#This Row],[Question]]="Not used
"), "Shade", ""))</f>
        <v>Shade</v>
      </c>
    </row>
    <row r="49" spans="1:8" s="100" customFormat="1" ht="25">
      <c r="A49" s="479" t="str">
        <f>IF(TBL_Q_10_Tech_All[[#This Row],[Sub_No]]="N/A", TBL_Q_10_Tech_All[[#This Row],[Q_No]], CONCATENATE(TBL_Q_10_Tech_All[[#This Row],[Q_No]], TBL_Q_10_Tech_All[[#This Row],[Sub_No]]))</f>
        <v>Q4.4.1</v>
      </c>
      <c r="B49" s="120" t="str">
        <f t="array" ref="B4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49" s="480"/>
      <c r="D49" s="486" t="str">
        <f>IF(TBL_Q_10_Tech_All[[#This Row],[Shade?]]="Shade", "", IF(TBL_Q_10_Tech_All[[#This Row],[Type]]="Question", IF(TBL_Q_10_Tech_All[[#This Row],[Response]]&lt;&gt;"", "Done", "Add"), ""))</f>
        <v/>
      </c>
      <c r="E49" s="487" t="s">
        <v>332</v>
      </c>
      <c r="F49" s="474" t="s">
        <v>1316</v>
      </c>
      <c r="G49" s="475" t="s">
        <v>568</v>
      </c>
      <c r="H49" s="476" t="str" cm="1">
        <f t="array" ref="H49">IF($G$4="No", "Shade", IF(OR(INDEX(TBL_ADD_04_Qs_All[Question / Sub-question], MATCH(1, (TBL_Q_10_Tech_All[[#This Row],[Q_No]]=TBL_ADD_04_Qs_All[Q.])*("Question"=TBL_ADD_04_Qs_All[Type])*("Tech"=TBL_ADD_04_Qs_All[Section]),0))="Not used", TBL_Q_10_Tech_All[[#This Row],[Question]]="Not used
"), "Shade", ""))</f>
        <v>Shade</v>
      </c>
    </row>
    <row r="50" spans="1:8" s="100" customFormat="1" ht="25">
      <c r="A50" s="479" t="str">
        <f>IF(TBL_Q_10_Tech_All[[#This Row],[Sub_No]]="N/A", TBL_Q_10_Tech_All[[#This Row],[Q_No]], CONCATENATE(TBL_Q_10_Tech_All[[#This Row],[Q_No]], TBL_Q_10_Tech_All[[#This Row],[Sub_No]]))</f>
        <v>Q4.4.2</v>
      </c>
      <c r="B50" s="120" t="str">
        <f t="array" ref="B5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0" s="480"/>
      <c r="D50" s="486" t="str">
        <f>IF(TBL_Q_10_Tech_All[[#This Row],[Shade?]]="Shade", "", IF(TBL_Q_10_Tech_All[[#This Row],[Type]]="Question", IF(TBL_Q_10_Tech_All[[#This Row],[Response]]&lt;&gt;"", "Done", "Add"), ""))</f>
        <v/>
      </c>
      <c r="E50" s="487" t="s">
        <v>332</v>
      </c>
      <c r="F50" s="474" t="s">
        <v>1316</v>
      </c>
      <c r="G50" s="475" t="s">
        <v>572</v>
      </c>
      <c r="H50" s="476" t="str" cm="1">
        <f t="array" ref="H50">IF($G$4="No", "Shade", IF(OR(INDEX(TBL_ADD_04_Qs_All[Question / Sub-question], MATCH(1, (TBL_Q_10_Tech_All[[#This Row],[Q_No]]=TBL_ADD_04_Qs_All[Q.])*("Question"=TBL_ADD_04_Qs_All[Type])*("Tech"=TBL_ADD_04_Qs_All[Section]),0))="Not used", TBL_Q_10_Tech_All[[#This Row],[Question]]="Not used
"), "Shade", ""))</f>
        <v>Shade</v>
      </c>
    </row>
    <row r="51" spans="1:8" s="100" customFormat="1" ht="25">
      <c r="A51" s="479" t="str">
        <f>IF(TBL_Q_10_Tech_All[[#This Row],[Sub_No]]="N/A", TBL_Q_10_Tech_All[[#This Row],[Q_No]], CONCATENATE(TBL_Q_10_Tech_All[[#This Row],[Q_No]], TBL_Q_10_Tech_All[[#This Row],[Sub_No]]))</f>
        <v>Q4.4.3</v>
      </c>
      <c r="B51" s="120" t="str">
        <f t="array" ref="B5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1" s="480"/>
      <c r="D51" s="486" t="str">
        <f>IF(TBL_Q_10_Tech_All[[#This Row],[Shade?]]="Shade", "", IF(TBL_Q_10_Tech_All[[#This Row],[Type]]="Question", IF(TBL_Q_10_Tech_All[[#This Row],[Response]]&lt;&gt;"", "Done", "Add"), ""))</f>
        <v/>
      </c>
      <c r="E51" s="487" t="s">
        <v>332</v>
      </c>
      <c r="F51" s="474" t="s">
        <v>1316</v>
      </c>
      <c r="G51" s="475" t="s">
        <v>569</v>
      </c>
      <c r="H51" s="476" t="str" cm="1">
        <f t="array" ref="H51">IF($G$4="No", "Shade", IF(OR(INDEX(TBL_ADD_04_Qs_All[Question / Sub-question], MATCH(1, (TBL_Q_10_Tech_All[[#This Row],[Q_No]]=TBL_ADD_04_Qs_All[Q.])*("Question"=TBL_ADD_04_Qs_All[Type])*("Tech"=TBL_ADD_04_Qs_All[Section]),0))="Not used", TBL_Q_10_Tech_All[[#This Row],[Question]]="Not used
"), "Shade", ""))</f>
        <v>Shade</v>
      </c>
    </row>
    <row r="52" spans="1:8" s="100" customFormat="1" ht="25">
      <c r="A52" s="479" t="str">
        <f>IF(TBL_Q_10_Tech_All[[#This Row],[Sub_No]]="N/A", TBL_Q_10_Tech_All[[#This Row],[Q_No]], CONCATENATE(TBL_Q_10_Tech_All[[#This Row],[Q_No]], TBL_Q_10_Tech_All[[#This Row],[Sub_No]]))</f>
        <v>Q4.4.4</v>
      </c>
      <c r="B52" s="120" t="str">
        <f t="array" ref="B5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2" s="480"/>
      <c r="D52" s="486" t="str">
        <f>IF(TBL_Q_10_Tech_All[[#This Row],[Shade?]]="Shade", "", IF(TBL_Q_10_Tech_All[[#This Row],[Type]]="Question", IF(TBL_Q_10_Tech_All[[#This Row],[Response]]&lt;&gt;"", "Done", "Add"), ""))</f>
        <v/>
      </c>
      <c r="E52" s="487" t="s">
        <v>332</v>
      </c>
      <c r="F52" s="474" t="s">
        <v>1316</v>
      </c>
      <c r="G52" s="475" t="s">
        <v>570</v>
      </c>
      <c r="H52" s="476" t="str" cm="1">
        <f t="array" ref="H52">IF($G$4="No", "Shade", IF(OR(INDEX(TBL_ADD_04_Qs_All[Question / Sub-question], MATCH(1, (TBL_Q_10_Tech_All[[#This Row],[Q_No]]=TBL_ADD_04_Qs_All[Q.])*("Question"=TBL_ADD_04_Qs_All[Type])*("Tech"=TBL_ADD_04_Qs_All[Section]),0))="Not used", TBL_Q_10_Tech_All[[#This Row],[Question]]="Not used
"), "Shade", ""))</f>
        <v>Shade</v>
      </c>
    </row>
    <row r="53" spans="1:8" s="100" customFormat="1" ht="25">
      <c r="A53" s="479" t="str">
        <f>IF(TBL_Q_10_Tech_All[[#This Row],[Sub_No]]="N/A", TBL_Q_10_Tech_All[[#This Row],[Q_No]], CONCATENATE(TBL_Q_10_Tech_All[[#This Row],[Q_No]], TBL_Q_10_Tech_All[[#This Row],[Sub_No]]))</f>
        <v>Q4.4.5</v>
      </c>
      <c r="B53" s="120" t="str">
        <f t="array" ref="B5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3" s="480"/>
      <c r="D53" s="486" t="str">
        <f>IF(TBL_Q_10_Tech_All[[#This Row],[Shade?]]="Shade", "", IF(TBL_Q_10_Tech_All[[#This Row],[Type]]="Question", IF(TBL_Q_10_Tech_All[[#This Row],[Response]]&lt;&gt;"", "Done", "Add"), ""))</f>
        <v/>
      </c>
      <c r="E53" s="487" t="s">
        <v>332</v>
      </c>
      <c r="F53" s="474" t="s">
        <v>1316</v>
      </c>
      <c r="G53" s="475" t="s">
        <v>571</v>
      </c>
      <c r="H53" s="476" t="str" cm="1">
        <f t="array" ref="H53">IF($G$4="No", "Shade", IF(OR(INDEX(TBL_ADD_04_Qs_All[Question / Sub-question], MATCH(1, (TBL_Q_10_Tech_All[[#This Row],[Q_No]]=TBL_ADD_04_Qs_All[Q.])*("Question"=TBL_ADD_04_Qs_All[Type])*("Tech"=TBL_ADD_04_Qs_All[Section]),0))="Not used", TBL_Q_10_Tech_All[[#This Row],[Question]]="Not used
"), "Shade", ""))</f>
        <v>Shade</v>
      </c>
    </row>
    <row r="54" spans="1:8" s="100" customFormat="1" ht="25">
      <c r="A54" s="479" t="str">
        <f>IF(TBL_Q_10_Tech_All[[#This Row],[Sub_No]]="N/A", TBL_Q_10_Tech_All[[#This Row],[Q_No]], CONCATENATE(TBL_Q_10_Tech_All[[#This Row],[Q_No]], TBL_Q_10_Tech_All[[#This Row],[Sub_No]]))</f>
        <v>Q4.4.6</v>
      </c>
      <c r="B54" s="120" t="str">
        <f t="array" ref="B5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4" s="480"/>
      <c r="D54" s="486" t="str">
        <f>IF(TBL_Q_10_Tech_All[[#This Row],[Shade?]]="Shade", "", IF(TBL_Q_10_Tech_All[[#This Row],[Type]]="Question", IF(TBL_Q_10_Tech_All[[#This Row],[Response]]&lt;&gt;"", "Done", "Add"), ""))</f>
        <v/>
      </c>
      <c r="E54" s="487" t="s">
        <v>332</v>
      </c>
      <c r="F54" s="474" t="s">
        <v>1316</v>
      </c>
      <c r="G54" s="475" t="s">
        <v>573</v>
      </c>
      <c r="H54" s="476" t="str" cm="1">
        <f t="array" ref="H54">IF($G$4="No", "Shade", IF(OR(INDEX(TBL_ADD_04_Qs_All[Question / Sub-question], MATCH(1, (TBL_Q_10_Tech_All[[#This Row],[Q_No]]=TBL_ADD_04_Qs_All[Q.])*("Question"=TBL_ADD_04_Qs_All[Type])*("Tech"=TBL_ADD_04_Qs_All[Section]),0))="Not used", TBL_Q_10_Tech_All[[#This Row],[Question]]="Not used
"), "Shade", ""))</f>
        <v>Shade</v>
      </c>
    </row>
    <row r="55" spans="1:8" s="100" customFormat="1" ht="25">
      <c r="A55" s="479" t="str">
        <f>IF(TBL_Q_10_Tech_All[[#This Row],[Sub_No]]="N/A", TBL_Q_10_Tech_All[[#This Row],[Q_No]], CONCATENATE(TBL_Q_10_Tech_All[[#This Row],[Q_No]], TBL_Q_10_Tech_All[[#This Row],[Sub_No]]))</f>
        <v>Q4.4.7</v>
      </c>
      <c r="B55" s="120" t="str">
        <f t="array" ref="B5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5" s="480"/>
      <c r="D55" s="486" t="str">
        <f>IF(TBL_Q_10_Tech_All[[#This Row],[Shade?]]="Shade", "", IF(TBL_Q_10_Tech_All[[#This Row],[Type]]="Question", IF(TBL_Q_10_Tech_All[[#This Row],[Response]]&lt;&gt;"", "Done", "Add"), ""))</f>
        <v/>
      </c>
      <c r="E55" s="487" t="s">
        <v>332</v>
      </c>
      <c r="F55" s="474" t="s">
        <v>1316</v>
      </c>
      <c r="G55" s="475" t="s">
        <v>574</v>
      </c>
      <c r="H55" s="476" t="str" cm="1">
        <f t="array" ref="H55">IF($G$4="No", "Shade", IF(OR(INDEX(TBL_ADD_04_Qs_All[Question / Sub-question], MATCH(1, (TBL_Q_10_Tech_All[[#This Row],[Q_No]]=TBL_ADD_04_Qs_All[Q.])*("Question"=TBL_ADD_04_Qs_All[Type])*("Tech"=TBL_ADD_04_Qs_All[Section]),0))="Not used", TBL_Q_10_Tech_All[[#This Row],[Question]]="Not used
"), "Shade", ""))</f>
        <v>Shade</v>
      </c>
    </row>
    <row r="56" spans="1:8" s="100" customFormat="1" ht="25">
      <c r="A56" s="479" t="str">
        <f>IF(TBL_Q_10_Tech_All[[#This Row],[Sub_No]]="N/A", TBL_Q_10_Tech_All[[#This Row],[Q_No]], CONCATENATE(TBL_Q_10_Tech_All[[#This Row],[Q_No]], TBL_Q_10_Tech_All[[#This Row],[Sub_No]]))</f>
        <v>Q4.4.8</v>
      </c>
      <c r="B56" s="120" t="str">
        <f t="array" ref="B5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6" s="480"/>
      <c r="D56" s="486" t="str">
        <f>IF(TBL_Q_10_Tech_All[[#This Row],[Shade?]]="Shade", "", IF(TBL_Q_10_Tech_All[[#This Row],[Type]]="Question", IF(TBL_Q_10_Tech_All[[#This Row],[Response]]&lt;&gt;"", "Done", "Add"), ""))</f>
        <v/>
      </c>
      <c r="E56" s="487" t="s">
        <v>332</v>
      </c>
      <c r="F56" s="474" t="s">
        <v>1316</v>
      </c>
      <c r="G56" s="475" t="s">
        <v>575</v>
      </c>
      <c r="H56" s="476" t="str" cm="1">
        <f t="array" ref="H56">IF($G$4="No", "Shade", IF(OR(INDEX(TBL_ADD_04_Qs_All[Question / Sub-question], MATCH(1, (TBL_Q_10_Tech_All[[#This Row],[Q_No]]=TBL_ADD_04_Qs_All[Q.])*("Question"=TBL_ADD_04_Qs_All[Type])*("Tech"=TBL_ADD_04_Qs_All[Section]),0))="Not used", TBL_Q_10_Tech_All[[#This Row],[Question]]="Not used
"), "Shade", ""))</f>
        <v>Shade</v>
      </c>
    </row>
    <row r="57" spans="1:8" s="100" customFormat="1" ht="25">
      <c r="A57" s="479" t="str">
        <f>IF(TBL_Q_10_Tech_All[[#This Row],[Sub_No]]="N/A", TBL_Q_10_Tech_All[[#This Row],[Q_No]], CONCATENATE(TBL_Q_10_Tech_All[[#This Row],[Q_No]], TBL_Q_10_Tech_All[[#This Row],[Sub_No]]))</f>
        <v>Q4.4.9</v>
      </c>
      <c r="B57" s="120" t="str">
        <f t="array" ref="B5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7" s="480"/>
      <c r="D57" s="486" t="str">
        <f>IF(TBL_Q_10_Tech_All[[#This Row],[Shade?]]="Shade", "", IF(TBL_Q_10_Tech_All[[#This Row],[Type]]="Question", IF(TBL_Q_10_Tech_All[[#This Row],[Response]]&lt;&gt;"", "Done", "Add"), ""))</f>
        <v/>
      </c>
      <c r="E57" s="487" t="s">
        <v>332</v>
      </c>
      <c r="F57" s="474" t="s">
        <v>1316</v>
      </c>
      <c r="G57" s="475" t="s">
        <v>576</v>
      </c>
      <c r="H57" s="476" t="str" cm="1">
        <f t="array" ref="H57">IF($G$4="No", "Shade", IF(OR(INDEX(TBL_ADD_04_Qs_All[Question / Sub-question], MATCH(1, (TBL_Q_10_Tech_All[[#This Row],[Q_No]]=TBL_ADD_04_Qs_All[Q.])*("Question"=TBL_ADD_04_Qs_All[Type])*("Tech"=TBL_ADD_04_Qs_All[Section]),0))="Not used", TBL_Q_10_Tech_All[[#This Row],[Question]]="Not used
"), "Shade", ""))</f>
        <v>Shade</v>
      </c>
    </row>
    <row r="58" spans="1:8" s="100" customFormat="1" ht="25">
      <c r="A58" s="481" t="str">
        <f>IF(TBL_Q_10_Tech_All[[#This Row],[Sub_No]]="N/A", TBL_Q_10_Tech_All[[#This Row],[Q_No]], CONCATENATE(TBL_Q_10_Tech_All[[#This Row],[Q_No]], TBL_Q_10_Tech_All[[#This Row],[Sub_No]]))</f>
        <v>Q4.4.10</v>
      </c>
      <c r="B58" s="482" t="str">
        <f t="array" ref="B5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8" s="483"/>
      <c r="D58" s="486" t="str">
        <f>IF(TBL_Q_10_Tech_All[[#This Row],[Shade?]]="Shade", "", IF(TBL_Q_10_Tech_All[[#This Row],[Type]]="Question", IF(TBL_Q_10_Tech_All[[#This Row],[Response]]&lt;&gt;"", "Done", "Add"), ""))</f>
        <v/>
      </c>
      <c r="E58" s="487" t="s">
        <v>332</v>
      </c>
      <c r="F58" s="474" t="s">
        <v>1316</v>
      </c>
      <c r="G58" s="475" t="s">
        <v>577</v>
      </c>
      <c r="H58" s="476" t="str" cm="1">
        <f t="array" ref="H58">IF($G$4="No", "Shade", IF(OR(INDEX(TBL_ADD_04_Qs_All[Question / Sub-question], MATCH(1, (TBL_Q_10_Tech_All[[#This Row],[Q_No]]=TBL_ADD_04_Qs_All[Q.])*("Question"=TBL_ADD_04_Qs_All[Type])*("Tech"=TBL_ADD_04_Qs_All[Section]),0))="Not used", TBL_Q_10_Tech_All[[#This Row],[Question]]="Not used
"), "Shade", ""))</f>
        <v>Shade</v>
      </c>
    </row>
    <row r="59" spans="1:8" s="100" customFormat="1" ht="26">
      <c r="A59" s="71" t="str">
        <f>IF(TBL_Q_10_Tech_All[[#This Row],[Sub_No]]="N/A", TBL_Q_10_Tech_All[[#This Row],[Q_No]], CONCATENATE(TBL_Q_10_Tech_All[[#This Row],[Q_No]], TBL_Q_10_Tech_All[[#This Row],[Sub_No]]))</f>
        <v>Q4.5</v>
      </c>
      <c r="B59" s="73" t="str">
        <f t="array" ref="B5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59" s="473"/>
      <c r="D59" s="486" t="str">
        <f>IF(TBL_Q_10_Tech_All[[#This Row],[Shade?]]="Shade", "", IF(TBL_Q_10_Tech_All[[#This Row],[Type]]="Question", IF(TBL_Q_10_Tech_All[[#This Row],[Response]]&lt;&gt;"", "Done", "Add"), ""))</f>
        <v/>
      </c>
      <c r="E59" s="487" t="s">
        <v>146</v>
      </c>
      <c r="F59" s="474" t="s">
        <v>1317</v>
      </c>
      <c r="G59" s="475" t="s">
        <v>24</v>
      </c>
      <c r="H59" s="476" t="str" cm="1">
        <f t="array" ref="H59">IF($G$4="No", "Shade", IF(OR(INDEX(TBL_ADD_04_Qs_All[Question / Sub-question], MATCH(1, (TBL_Q_10_Tech_All[[#This Row],[Q_No]]=TBL_ADD_04_Qs_All[Q.])*("Question"=TBL_ADD_04_Qs_All[Type])*("Tech"=TBL_ADD_04_Qs_All[Section]),0))="Not used", TBL_Q_10_Tech_All[[#This Row],[Question]]="Not used
"), "Shade", ""))</f>
        <v>Shade</v>
      </c>
    </row>
    <row r="60" spans="1:8" s="100" customFormat="1" ht="26">
      <c r="A60" s="477" t="str">
        <f>IF(TBL_Q_10_Tech_All[[#This Row],[Sub_No]]="N/A", TBL_Q_10_Tech_All[[#This Row],[Q_No]], CONCATENATE(TBL_Q_10_Tech_All[[#This Row],[Q_No]], TBL_Q_10_Tech_All[[#This Row],[Sub_No]]))</f>
        <v>Q4.5</v>
      </c>
      <c r="B60" s="120" t="str">
        <f t="array" ref="B6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0" s="478"/>
      <c r="D60" s="486" t="str">
        <f>IF(TBL_Q_10_Tech_All[[#This Row],[Shade?]]="Shade", "", IF(TBL_Q_10_Tech_All[[#This Row],[Type]]="Question", IF(TBL_Q_10_Tech_All[[#This Row],[Response]]&lt;&gt;"", "Done", "Add"), ""))</f>
        <v/>
      </c>
      <c r="E60" s="487" t="s">
        <v>348</v>
      </c>
      <c r="F60" s="474" t="s">
        <v>1317</v>
      </c>
      <c r="G60" s="475" t="s">
        <v>24</v>
      </c>
      <c r="H60" s="476" t="str" cm="1">
        <f t="array" ref="H60">IF($G$4="No", "Shade", IF(OR(INDEX(TBL_ADD_04_Qs_All[Question / Sub-question], MATCH(1, (TBL_Q_10_Tech_All[[#This Row],[Q_No]]=TBL_ADD_04_Qs_All[Q.])*("Question"=TBL_ADD_04_Qs_All[Type])*("Tech"=TBL_ADD_04_Qs_All[Section]),0))="Not used", TBL_Q_10_Tech_All[[#This Row],[Question]]="Not used
"), "Shade", ""))</f>
        <v>Shade</v>
      </c>
    </row>
    <row r="61" spans="1:8" s="100" customFormat="1" ht="25">
      <c r="A61" s="479" t="str">
        <f>IF(TBL_Q_10_Tech_All[[#This Row],[Sub_No]]="N/A", TBL_Q_10_Tech_All[[#This Row],[Q_No]], CONCATENATE(TBL_Q_10_Tech_All[[#This Row],[Q_No]], TBL_Q_10_Tech_All[[#This Row],[Sub_No]]))</f>
        <v>Q4.5.1</v>
      </c>
      <c r="B61" s="120" t="str">
        <f t="array" ref="B6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1" s="480"/>
      <c r="D61" s="486" t="str">
        <f>IF(TBL_Q_10_Tech_All[[#This Row],[Shade?]]="Shade", "", IF(TBL_Q_10_Tech_All[[#This Row],[Type]]="Question", IF(TBL_Q_10_Tech_All[[#This Row],[Response]]&lt;&gt;"", "Done", "Add"), ""))</f>
        <v/>
      </c>
      <c r="E61" s="487" t="s">
        <v>332</v>
      </c>
      <c r="F61" s="474" t="s">
        <v>1317</v>
      </c>
      <c r="G61" s="475" t="s">
        <v>568</v>
      </c>
      <c r="H61" s="476" t="str" cm="1">
        <f t="array" ref="H61">IF($G$4="No", "Shade", IF(OR(INDEX(TBL_ADD_04_Qs_All[Question / Sub-question], MATCH(1, (TBL_Q_10_Tech_All[[#This Row],[Q_No]]=TBL_ADD_04_Qs_All[Q.])*("Question"=TBL_ADD_04_Qs_All[Type])*("Tech"=TBL_ADD_04_Qs_All[Section]),0))="Not used", TBL_Q_10_Tech_All[[#This Row],[Question]]="Not used
"), "Shade", ""))</f>
        <v>Shade</v>
      </c>
    </row>
    <row r="62" spans="1:8" s="100" customFormat="1" ht="25">
      <c r="A62" s="479" t="str">
        <f>IF(TBL_Q_10_Tech_All[[#This Row],[Sub_No]]="N/A", TBL_Q_10_Tech_All[[#This Row],[Q_No]], CONCATENATE(TBL_Q_10_Tech_All[[#This Row],[Q_No]], TBL_Q_10_Tech_All[[#This Row],[Sub_No]]))</f>
        <v>Q4.5.2</v>
      </c>
      <c r="B62" s="120" t="str">
        <f t="array" ref="B6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2" s="480"/>
      <c r="D62" s="486" t="str">
        <f>IF(TBL_Q_10_Tech_All[[#This Row],[Shade?]]="Shade", "", IF(TBL_Q_10_Tech_All[[#This Row],[Type]]="Question", IF(TBL_Q_10_Tech_All[[#This Row],[Response]]&lt;&gt;"", "Done", "Add"), ""))</f>
        <v/>
      </c>
      <c r="E62" s="487" t="s">
        <v>332</v>
      </c>
      <c r="F62" s="474" t="s">
        <v>1317</v>
      </c>
      <c r="G62" s="475" t="s">
        <v>572</v>
      </c>
      <c r="H62" s="476" t="str" cm="1">
        <f t="array" ref="H62">IF($G$4="No", "Shade", IF(OR(INDEX(TBL_ADD_04_Qs_All[Question / Sub-question], MATCH(1, (TBL_Q_10_Tech_All[[#This Row],[Q_No]]=TBL_ADD_04_Qs_All[Q.])*("Question"=TBL_ADD_04_Qs_All[Type])*("Tech"=TBL_ADD_04_Qs_All[Section]),0))="Not used", TBL_Q_10_Tech_All[[#This Row],[Question]]="Not used
"), "Shade", ""))</f>
        <v>Shade</v>
      </c>
    </row>
    <row r="63" spans="1:8" s="100" customFormat="1" ht="25">
      <c r="A63" s="479" t="str">
        <f>IF(TBL_Q_10_Tech_All[[#This Row],[Sub_No]]="N/A", TBL_Q_10_Tech_All[[#This Row],[Q_No]], CONCATENATE(TBL_Q_10_Tech_All[[#This Row],[Q_No]], TBL_Q_10_Tech_All[[#This Row],[Sub_No]]))</f>
        <v>Q4.5.3</v>
      </c>
      <c r="B63" s="120" t="str">
        <f t="array" ref="B6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3" s="480"/>
      <c r="D63" s="486" t="str">
        <f>IF(TBL_Q_10_Tech_All[[#This Row],[Shade?]]="Shade", "", IF(TBL_Q_10_Tech_All[[#This Row],[Type]]="Question", IF(TBL_Q_10_Tech_All[[#This Row],[Response]]&lt;&gt;"", "Done", "Add"), ""))</f>
        <v/>
      </c>
      <c r="E63" s="487" t="s">
        <v>332</v>
      </c>
      <c r="F63" s="474" t="s">
        <v>1317</v>
      </c>
      <c r="G63" s="475" t="s">
        <v>569</v>
      </c>
      <c r="H63" s="476" t="str" cm="1">
        <f t="array" ref="H63">IF($G$4="No", "Shade", IF(OR(INDEX(TBL_ADD_04_Qs_All[Question / Sub-question], MATCH(1, (TBL_Q_10_Tech_All[[#This Row],[Q_No]]=TBL_ADD_04_Qs_All[Q.])*("Question"=TBL_ADD_04_Qs_All[Type])*("Tech"=TBL_ADD_04_Qs_All[Section]),0))="Not used", TBL_Q_10_Tech_All[[#This Row],[Question]]="Not used
"), "Shade", ""))</f>
        <v>Shade</v>
      </c>
    </row>
    <row r="64" spans="1:8" s="100" customFormat="1" ht="25">
      <c r="A64" s="479" t="str">
        <f>IF(TBL_Q_10_Tech_All[[#This Row],[Sub_No]]="N/A", TBL_Q_10_Tech_All[[#This Row],[Q_No]], CONCATENATE(TBL_Q_10_Tech_All[[#This Row],[Q_No]], TBL_Q_10_Tech_All[[#This Row],[Sub_No]]))</f>
        <v>Q4.5.4</v>
      </c>
      <c r="B64" s="120" t="str">
        <f t="array" ref="B6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4" s="480"/>
      <c r="D64" s="486" t="str">
        <f>IF(TBL_Q_10_Tech_All[[#This Row],[Shade?]]="Shade", "", IF(TBL_Q_10_Tech_All[[#This Row],[Type]]="Question", IF(TBL_Q_10_Tech_All[[#This Row],[Response]]&lt;&gt;"", "Done", "Add"), ""))</f>
        <v/>
      </c>
      <c r="E64" s="487" t="s">
        <v>332</v>
      </c>
      <c r="F64" s="474" t="s">
        <v>1317</v>
      </c>
      <c r="G64" s="475" t="s">
        <v>570</v>
      </c>
      <c r="H64" s="476" t="str" cm="1">
        <f t="array" ref="H64">IF($G$4="No", "Shade", IF(OR(INDEX(TBL_ADD_04_Qs_All[Question / Sub-question], MATCH(1, (TBL_Q_10_Tech_All[[#This Row],[Q_No]]=TBL_ADD_04_Qs_All[Q.])*("Question"=TBL_ADD_04_Qs_All[Type])*("Tech"=TBL_ADD_04_Qs_All[Section]),0))="Not used", TBL_Q_10_Tech_All[[#This Row],[Question]]="Not used
"), "Shade", ""))</f>
        <v>Shade</v>
      </c>
    </row>
    <row r="65" spans="1:8" s="100" customFormat="1" ht="25">
      <c r="A65" s="479" t="str">
        <f>IF(TBL_Q_10_Tech_All[[#This Row],[Sub_No]]="N/A", TBL_Q_10_Tech_All[[#This Row],[Q_No]], CONCATENATE(TBL_Q_10_Tech_All[[#This Row],[Q_No]], TBL_Q_10_Tech_All[[#This Row],[Sub_No]]))</f>
        <v>Q4.5.5</v>
      </c>
      <c r="B65" s="120" t="str">
        <f t="array" ref="B6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5" s="480"/>
      <c r="D65" s="486" t="str">
        <f>IF(TBL_Q_10_Tech_All[[#This Row],[Shade?]]="Shade", "", IF(TBL_Q_10_Tech_All[[#This Row],[Type]]="Question", IF(TBL_Q_10_Tech_All[[#This Row],[Response]]&lt;&gt;"", "Done", "Add"), ""))</f>
        <v/>
      </c>
      <c r="E65" s="487" t="s">
        <v>332</v>
      </c>
      <c r="F65" s="474" t="s">
        <v>1317</v>
      </c>
      <c r="G65" s="475" t="s">
        <v>571</v>
      </c>
      <c r="H65" s="476" t="str" cm="1">
        <f t="array" ref="H65">IF($G$4="No", "Shade", IF(OR(INDEX(TBL_ADD_04_Qs_All[Question / Sub-question], MATCH(1, (TBL_Q_10_Tech_All[[#This Row],[Q_No]]=TBL_ADD_04_Qs_All[Q.])*("Question"=TBL_ADD_04_Qs_All[Type])*("Tech"=TBL_ADD_04_Qs_All[Section]),0))="Not used", TBL_Q_10_Tech_All[[#This Row],[Question]]="Not used
"), "Shade", ""))</f>
        <v>Shade</v>
      </c>
    </row>
    <row r="66" spans="1:8" s="100" customFormat="1" ht="25">
      <c r="A66" s="479" t="str">
        <f>IF(TBL_Q_10_Tech_All[[#This Row],[Sub_No]]="N/A", TBL_Q_10_Tech_All[[#This Row],[Q_No]], CONCATENATE(TBL_Q_10_Tech_All[[#This Row],[Q_No]], TBL_Q_10_Tech_All[[#This Row],[Sub_No]]))</f>
        <v>Q4.5.6</v>
      </c>
      <c r="B66" s="120" t="str">
        <f t="array" ref="B6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6" s="480"/>
      <c r="D66" s="486" t="str">
        <f>IF(TBL_Q_10_Tech_All[[#This Row],[Shade?]]="Shade", "", IF(TBL_Q_10_Tech_All[[#This Row],[Type]]="Question", IF(TBL_Q_10_Tech_All[[#This Row],[Response]]&lt;&gt;"", "Done", "Add"), ""))</f>
        <v/>
      </c>
      <c r="E66" s="487" t="s">
        <v>332</v>
      </c>
      <c r="F66" s="474" t="s">
        <v>1317</v>
      </c>
      <c r="G66" s="475" t="s">
        <v>573</v>
      </c>
      <c r="H66" s="476" t="str" cm="1">
        <f t="array" ref="H66">IF($G$4="No", "Shade", IF(OR(INDEX(TBL_ADD_04_Qs_All[Question / Sub-question], MATCH(1, (TBL_Q_10_Tech_All[[#This Row],[Q_No]]=TBL_ADD_04_Qs_All[Q.])*("Question"=TBL_ADD_04_Qs_All[Type])*("Tech"=TBL_ADD_04_Qs_All[Section]),0))="Not used", TBL_Q_10_Tech_All[[#This Row],[Question]]="Not used
"), "Shade", ""))</f>
        <v>Shade</v>
      </c>
    </row>
    <row r="67" spans="1:8" s="100" customFormat="1" ht="25">
      <c r="A67" s="479" t="str">
        <f>IF(TBL_Q_10_Tech_All[[#This Row],[Sub_No]]="N/A", TBL_Q_10_Tech_All[[#This Row],[Q_No]], CONCATENATE(TBL_Q_10_Tech_All[[#This Row],[Q_No]], TBL_Q_10_Tech_All[[#This Row],[Sub_No]]))</f>
        <v>Q4.5.7</v>
      </c>
      <c r="B67" s="120" t="str">
        <f t="array" ref="B6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7" s="480"/>
      <c r="D67" s="486" t="str">
        <f>IF(TBL_Q_10_Tech_All[[#This Row],[Shade?]]="Shade", "", IF(TBL_Q_10_Tech_All[[#This Row],[Type]]="Question", IF(TBL_Q_10_Tech_All[[#This Row],[Response]]&lt;&gt;"", "Done", "Add"), ""))</f>
        <v/>
      </c>
      <c r="E67" s="487" t="s">
        <v>332</v>
      </c>
      <c r="F67" s="474" t="s">
        <v>1317</v>
      </c>
      <c r="G67" s="475" t="s">
        <v>574</v>
      </c>
      <c r="H67" s="476" t="str" cm="1">
        <f t="array" ref="H67">IF($G$4="No", "Shade", IF(OR(INDEX(TBL_ADD_04_Qs_All[Question / Sub-question], MATCH(1, (TBL_Q_10_Tech_All[[#This Row],[Q_No]]=TBL_ADD_04_Qs_All[Q.])*("Question"=TBL_ADD_04_Qs_All[Type])*("Tech"=TBL_ADD_04_Qs_All[Section]),0))="Not used", TBL_Q_10_Tech_All[[#This Row],[Question]]="Not used
"), "Shade", ""))</f>
        <v>Shade</v>
      </c>
    </row>
    <row r="68" spans="1:8" s="100" customFormat="1" ht="25">
      <c r="A68" s="479" t="str">
        <f>IF(TBL_Q_10_Tech_All[[#This Row],[Sub_No]]="N/A", TBL_Q_10_Tech_All[[#This Row],[Q_No]], CONCATENATE(TBL_Q_10_Tech_All[[#This Row],[Q_No]], TBL_Q_10_Tech_All[[#This Row],[Sub_No]]))</f>
        <v>Q4.5.8</v>
      </c>
      <c r="B68" s="120" t="str">
        <f t="array" ref="B6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8" s="480"/>
      <c r="D68" s="486" t="str">
        <f>IF(TBL_Q_10_Tech_All[[#This Row],[Shade?]]="Shade", "", IF(TBL_Q_10_Tech_All[[#This Row],[Type]]="Question", IF(TBL_Q_10_Tech_All[[#This Row],[Response]]&lt;&gt;"", "Done", "Add"), ""))</f>
        <v/>
      </c>
      <c r="E68" s="487" t="s">
        <v>332</v>
      </c>
      <c r="F68" s="474" t="s">
        <v>1317</v>
      </c>
      <c r="G68" s="475" t="s">
        <v>575</v>
      </c>
      <c r="H68" s="476" t="str" cm="1">
        <f t="array" ref="H68">IF($G$4="No", "Shade", IF(OR(INDEX(TBL_ADD_04_Qs_All[Question / Sub-question], MATCH(1, (TBL_Q_10_Tech_All[[#This Row],[Q_No]]=TBL_ADD_04_Qs_All[Q.])*("Question"=TBL_ADD_04_Qs_All[Type])*("Tech"=TBL_ADD_04_Qs_All[Section]),0))="Not used", TBL_Q_10_Tech_All[[#This Row],[Question]]="Not used
"), "Shade", ""))</f>
        <v>Shade</v>
      </c>
    </row>
    <row r="69" spans="1:8" s="100" customFormat="1" ht="25">
      <c r="A69" s="479" t="str">
        <f>IF(TBL_Q_10_Tech_All[[#This Row],[Sub_No]]="N/A", TBL_Q_10_Tech_All[[#This Row],[Q_No]], CONCATENATE(TBL_Q_10_Tech_All[[#This Row],[Q_No]], TBL_Q_10_Tech_All[[#This Row],[Sub_No]]))</f>
        <v>Q4.5.9</v>
      </c>
      <c r="B69" s="120" t="str">
        <f t="array" ref="B6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69" s="480"/>
      <c r="D69" s="486" t="str">
        <f>IF(TBL_Q_10_Tech_All[[#This Row],[Shade?]]="Shade", "", IF(TBL_Q_10_Tech_All[[#This Row],[Type]]="Question", IF(TBL_Q_10_Tech_All[[#This Row],[Response]]&lt;&gt;"", "Done", "Add"), ""))</f>
        <v/>
      </c>
      <c r="E69" s="487" t="s">
        <v>332</v>
      </c>
      <c r="F69" s="474" t="s">
        <v>1317</v>
      </c>
      <c r="G69" s="475" t="s">
        <v>576</v>
      </c>
      <c r="H69" s="476" t="str" cm="1">
        <f t="array" ref="H69">IF($G$4="No", "Shade", IF(OR(INDEX(TBL_ADD_04_Qs_All[Question / Sub-question], MATCH(1, (TBL_Q_10_Tech_All[[#This Row],[Q_No]]=TBL_ADD_04_Qs_All[Q.])*("Question"=TBL_ADD_04_Qs_All[Type])*("Tech"=TBL_ADD_04_Qs_All[Section]),0))="Not used", TBL_Q_10_Tech_All[[#This Row],[Question]]="Not used
"), "Shade", ""))</f>
        <v>Shade</v>
      </c>
    </row>
    <row r="70" spans="1:8" s="100" customFormat="1" ht="25">
      <c r="A70" s="481" t="str">
        <f>IF(TBL_Q_10_Tech_All[[#This Row],[Sub_No]]="N/A", TBL_Q_10_Tech_All[[#This Row],[Q_No]], CONCATENATE(TBL_Q_10_Tech_All[[#This Row],[Q_No]], TBL_Q_10_Tech_All[[#This Row],[Sub_No]]))</f>
        <v>Q4.5.10</v>
      </c>
      <c r="B70" s="482" t="str">
        <f t="array" ref="B7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0" s="483"/>
      <c r="D70" s="486" t="str">
        <f>IF(TBL_Q_10_Tech_All[[#This Row],[Shade?]]="Shade", "", IF(TBL_Q_10_Tech_All[[#This Row],[Type]]="Question", IF(TBL_Q_10_Tech_All[[#This Row],[Response]]&lt;&gt;"", "Done", "Add"), ""))</f>
        <v/>
      </c>
      <c r="E70" s="487" t="s">
        <v>332</v>
      </c>
      <c r="F70" s="474" t="s">
        <v>1317</v>
      </c>
      <c r="G70" s="475" t="s">
        <v>577</v>
      </c>
      <c r="H70" s="476" t="str" cm="1">
        <f t="array" ref="H70">IF($G$4="No", "Shade", IF(OR(INDEX(TBL_ADD_04_Qs_All[Question / Sub-question], MATCH(1, (TBL_Q_10_Tech_All[[#This Row],[Q_No]]=TBL_ADD_04_Qs_All[Q.])*("Question"=TBL_ADD_04_Qs_All[Type])*("Tech"=TBL_ADD_04_Qs_All[Section]),0))="Not used", TBL_Q_10_Tech_All[[#This Row],[Question]]="Not used
"), "Shade", ""))</f>
        <v>Shade</v>
      </c>
    </row>
    <row r="71" spans="1:8" s="100" customFormat="1" ht="26">
      <c r="A71" s="71" t="str">
        <f>IF(TBL_Q_10_Tech_All[[#This Row],[Sub_No]]="N/A", TBL_Q_10_Tech_All[[#This Row],[Q_No]], CONCATENATE(TBL_Q_10_Tech_All[[#This Row],[Q_No]], TBL_Q_10_Tech_All[[#This Row],[Sub_No]]))</f>
        <v>Q4.6</v>
      </c>
      <c r="B71" s="73" t="str">
        <f t="array" ref="B7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1" s="473"/>
      <c r="D71" s="486" t="str">
        <f>IF(TBL_Q_10_Tech_All[[#This Row],[Shade?]]="Shade", "", IF(TBL_Q_10_Tech_All[[#This Row],[Type]]="Question", IF(TBL_Q_10_Tech_All[[#This Row],[Response]]&lt;&gt;"", "Done", "Add"), ""))</f>
        <v/>
      </c>
      <c r="E71" s="487" t="s">
        <v>146</v>
      </c>
      <c r="F71" s="474" t="s">
        <v>1318</v>
      </c>
      <c r="G71" s="475" t="s">
        <v>24</v>
      </c>
      <c r="H71" s="476" t="str" cm="1">
        <f t="array" ref="H71">IF($G$4="No", "Shade", IF(OR(INDEX(TBL_ADD_04_Qs_All[Question / Sub-question], MATCH(1, (TBL_Q_10_Tech_All[[#This Row],[Q_No]]=TBL_ADD_04_Qs_All[Q.])*("Question"=TBL_ADD_04_Qs_All[Type])*("Tech"=TBL_ADD_04_Qs_All[Section]),0))="Not used", TBL_Q_10_Tech_All[[#This Row],[Question]]="Not used
"), "Shade", ""))</f>
        <v>Shade</v>
      </c>
    </row>
    <row r="72" spans="1:8" s="100" customFormat="1" ht="26">
      <c r="A72" s="477" t="str">
        <f>IF(TBL_Q_10_Tech_All[[#This Row],[Sub_No]]="N/A", TBL_Q_10_Tech_All[[#This Row],[Q_No]], CONCATENATE(TBL_Q_10_Tech_All[[#This Row],[Q_No]], TBL_Q_10_Tech_All[[#This Row],[Sub_No]]))</f>
        <v>Q4.6</v>
      </c>
      <c r="B72" s="120" t="str">
        <f t="array" ref="B7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2" s="478"/>
      <c r="D72" s="486" t="str">
        <f>IF(TBL_Q_10_Tech_All[[#This Row],[Shade?]]="Shade", "", IF(TBL_Q_10_Tech_All[[#This Row],[Type]]="Question", IF(TBL_Q_10_Tech_All[[#This Row],[Response]]&lt;&gt;"", "Done", "Add"), ""))</f>
        <v/>
      </c>
      <c r="E72" s="487" t="s">
        <v>348</v>
      </c>
      <c r="F72" s="474" t="s">
        <v>1318</v>
      </c>
      <c r="G72" s="475" t="s">
        <v>24</v>
      </c>
      <c r="H72" s="476" t="str" cm="1">
        <f t="array" ref="H72">IF($G$4="No", "Shade", IF(OR(INDEX(TBL_ADD_04_Qs_All[Question / Sub-question], MATCH(1, (TBL_Q_10_Tech_All[[#This Row],[Q_No]]=TBL_ADD_04_Qs_All[Q.])*("Question"=TBL_ADD_04_Qs_All[Type])*("Tech"=TBL_ADD_04_Qs_All[Section]),0))="Not used", TBL_Q_10_Tech_All[[#This Row],[Question]]="Not used
"), "Shade", ""))</f>
        <v>Shade</v>
      </c>
    </row>
    <row r="73" spans="1:8" s="100" customFormat="1" ht="25">
      <c r="A73" s="479" t="str">
        <f>IF(TBL_Q_10_Tech_All[[#This Row],[Sub_No]]="N/A", TBL_Q_10_Tech_All[[#This Row],[Q_No]], CONCATENATE(TBL_Q_10_Tech_All[[#This Row],[Q_No]], TBL_Q_10_Tech_All[[#This Row],[Sub_No]]))</f>
        <v>Q4.6.1</v>
      </c>
      <c r="B73" s="120" t="str">
        <f t="array" ref="B7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3" s="480"/>
      <c r="D73" s="486" t="str">
        <f>IF(TBL_Q_10_Tech_All[[#This Row],[Shade?]]="Shade", "", IF(TBL_Q_10_Tech_All[[#This Row],[Type]]="Question", IF(TBL_Q_10_Tech_All[[#This Row],[Response]]&lt;&gt;"", "Done", "Add"), ""))</f>
        <v/>
      </c>
      <c r="E73" s="487" t="s">
        <v>332</v>
      </c>
      <c r="F73" s="474" t="s">
        <v>1318</v>
      </c>
      <c r="G73" s="475" t="s">
        <v>568</v>
      </c>
      <c r="H73" s="476" t="str" cm="1">
        <f t="array" ref="H73">IF($G$4="No", "Shade", IF(OR(INDEX(TBL_ADD_04_Qs_All[Question / Sub-question], MATCH(1, (TBL_Q_10_Tech_All[[#This Row],[Q_No]]=TBL_ADD_04_Qs_All[Q.])*("Question"=TBL_ADD_04_Qs_All[Type])*("Tech"=TBL_ADD_04_Qs_All[Section]),0))="Not used", TBL_Q_10_Tech_All[[#This Row],[Question]]="Not used
"), "Shade", ""))</f>
        <v>Shade</v>
      </c>
    </row>
    <row r="74" spans="1:8" s="100" customFormat="1" ht="25">
      <c r="A74" s="479" t="str">
        <f>IF(TBL_Q_10_Tech_All[[#This Row],[Sub_No]]="N/A", TBL_Q_10_Tech_All[[#This Row],[Q_No]], CONCATENATE(TBL_Q_10_Tech_All[[#This Row],[Q_No]], TBL_Q_10_Tech_All[[#This Row],[Sub_No]]))</f>
        <v>Q4.6.2</v>
      </c>
      <c r="B74" s="120" t="str">
        <f t="array" ref="B7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4" s="480"/>
      <c r="D74" s="486" t="str">
        <f>IF(TBL_Q_10_Tech_All[[#This Row],[Shade?]]="Shade", "", IF(TBL_Q_10_Tech_All[[#This Row],[Type]]="Question", IF(TBL_Q_10_Tech_All[[#This Row],[Response]]&lt;&gt;"", "Done", "Add"), ""))</f>
        <v/>
      </c>
      <c r="E74" s="487" t="s">
        <v>332</v>
      </c>
      <c r="F74" s="474" t="s">
        <v>1318</v>
      </c>
      <c r="G74" s="475" t="s">
        <v>572</v>
      </c>
      <c r="H74" s="476" t="str" cm="1">
        <f t="array" ref="H74">IF($G$4="No", "Shade", IF(OR(INDEX(TBL_ADD_04_Qs_All[Question / Sub-question], MATCH(1, (TBL_Q_10_Tech_All[[#This Row],[Q_No]]=TBL_ADD_04_Qs_All[Q.])*("Question"=TBL_ADD_04_Qs_All[Type])*("Tech"=TBL_ADD_04_Qs_All[Section]),0))="Not used", TBL_Q_10_Tech_All[[#This Row],[Question]]="Not used
"), "Shade", ""))</f>
        <v>Shade</v>
      </c>
    </row>
    <row r="75" spans="1:8" s="100" customFormat="1" ht="25">
      <c r="A75" s="479" t="str">
        <f>IF(TBL_Q_10_Tech_All[[#This Row],[Sub_No]]="N/A", TBL_Q_10_Tech_All[[#This Row],[Q_No]], CONCATENATE(TBL_Q_10_Tech_All[[#This Row],[Q_No]], TBL_Q_10_Tech_All[[#This Row],[Sub_No]]))</f>
        <v>Q4.6.3</v>
      </c>
      <c r="B75" s="120" t="str">
        <f t="array" ref="B7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5" s="480"/>
      <c r="D75" s="486" t="str">
        <f>IF(TBL_Q_10_Tech_All[[#This Row],[Shade?]]="Shade", "", IF(TBL_Q_10_Tech_All[[#This Row],[Type]]="Question", IF(TBL_Q_10_Tech_All[[#This Row],[Response]]&lt;&gt;"", "Done", "Add"), ""))</f>
        <v/>
      </c>
      <c r="E75" s="487" t="s">
        <v>332</v>
      </c>
      <c r="F75" s="474" t="s">
        <v>1318</v>
      </c>
      <c r="G75" s="475" t="s">
        <v>569</v>
      </c>
      <c r="H75" s="476" t="str" cm="1">
        <f t="array" ref="H75">IF($G$4="No", "Shade", IF(OR(INDEX(TBL_ADD_04_Qs_All[Question / Sub-question], MATCH(1, (TBL_Q_10_Tech_All[[#This Row],[Q_No]]=TBL_ADD_04_Qs_All[Q.])*("Question"=TBL_ADD_04_Qs_All[Type])*("Tech"=TBL_ADD_04_Qs_All[Section]),0))="Not used", TBL_Q_10_Tech_All[[#This Row],[Question]]="Not used
"), "Shade", ""))</f>
        <v>Shade</v>
      </c>
    </row>
    <row r="76" spans="1:8" s="100" customFormat="1" ht="25">
      <c r="A76" s="479" t="str">
        <f>IF(TBL_Q_10_Tech_All[[#This Row],[Sub_No]]="N/A", TBL_Q_10_Tech_All[[#This Row],[Q_No]], CONCATENATE(TBL_Q_10_Tech_All[[#This Row],[Q_No]], TBL_Q_10_Tech_All[[#This Row],[Sub_No]]))</f>
        <v>Q4.6.4</v>
      </c>
      <c r="B76" s="120" t="str">
        <f t="array" ref="B7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6" s="480"/>
      <c r="D76" s="486" t="str">
        <f>IF(TBL_Q_10_Tech_All[[#This Row],[Shade?]]="Shade", "", IF(TBL_Q_10_Tech_All[[#This Row],[Type]]="Question", IF(TBL_Q_10_Tech_All[[#This Row],[Response]]&lt;&gt;"", "Done", "Add"), ""))</f>
        <v/>
      </c>
      <c r="E76" s="487" t="s">
        <v>332</v>
      </c>
      <c r="F76" s="474" t="s">
        <v>1318</v>
      </c>
      <c r="G76" s="475" t="s">
        <v>570</v>
      </c>
      <c r="H76" s="476" t="str" cm="1">
        <f t="array" ref="H76">IF($G$4="No", "Shade", IF(OR(INDEX(TBL_ADD_04_Qs_All[Question / Sub-question], MATCH(1, (TBL_Q_10_Tech_All[[#This Row],[Q_No]]=TBL_ADD_04_Qs_All[Q.])*("Question"=TBL_ADD_04_Qs_All[Type])*("Tech"=TBL_ADD_04_Qs_All[Section]),0))="Not used", TBL_Q_10_Tech_All[[#This Row],[Question]]="Not used
"), "Shade", ""))</f>
        <v>Shade</v>
      </c>
    </row>
    <row r="77" spans="1:8" s="100" customFormat="1" ht="25">
      <c r="A77" s="479" t="str">
        <f>IF(TBL_Q_10_Tech_All[[#This Row],[Sub_No]]="N/A", TBL_Q_10_Tech_All[[#This Row],[Q_No]], CONCATENATE(TBL_Q_10_Tech_All[[#This Row],[Q_No]], TBL_Q_10_Tech_All[[#This Row],[Sub_No]]))</f>
        <v>Q4.6.5</v>
      </c>
      <c r="B77" s="120" t="str">
        <f t="array" ref="B7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7" s="480"/>
      <c r="D77" s="486" t="str">
        <f>IF(TBL_Q_10_Tech_All[[#This Row],[Shade?]]="Shade", "", IF(TBL_Q_10_Tech_All[[#This Row],[Type]]="Question", IF(TBL_Q_10_Tech_All[[#This Row],[Response]]&lt;&gt;"", "Done", "Add"), ""))</f>
        <v/>
      </c>
      <c r="E77" s="487" t="s">
        <v>332</v>
      </c>
      <c r="F77" s="474" t="s">
        <v>1318</v>
      </c>
      <c r="G77" s="475" t="s">
        <v>571</v>
      </c>
      <c r="H77" s="476" t="str" cm="1">
        <f t="array" ref="H77">IF($G$4="No", "Shade", IF(OR(INDEX(TBL_ADD_04_Qs_All[Question / Sub-question], MATCH(1, (TBL_Q_10_Tech_All[[#This Row],[Q_No]]=TBL_ADD_04_Qs_All[Q.])*("Question"=TBL_ADD_04_Qs_All[Type])*("Tech"=TBL_ADD_04_Qs_All[Section]),0))="Not used", TBL_Q_10_Tech_All[[#This Row],[Question]]="Not used
"), "Shade", ""))</f>
        <v>Shade</v>
      </c>
    </row>
    <row r="78" spans="1:8" s="100" customFormat="1" ht="25">
      <c r="A78" s="479" t="str">
        <f>IF(TBL_Q_10_Tech_All[[#This Row],[Sub_No]]="N/A", TBL_Q_10_Tech_All[[#This Row],[Q_No]], CONCATENATE(TBL_Q_10_Tech_All[[#This Row],[Q_No]], TBL_Q_10_Tech_All[[#This Row],[Sub_No]]))</f>
        <v>Q4.6.6</v>
      </c>
      <c r="B78" s="120" t="str">
        <f t="array" ref="B7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8" s="480"/>
      <c r="D78" s="486" t="str">
        <f>IF(TBL_Q_10_Tech_All[[#This Row],[Shade?]]="Shade", "", IF(TBL_Q_10_Tech_All[[#This Row],[Type]]="Question", IF(TBL_Q_10_Tech_All[[#This Row],[Response]]&lt;&gt;"", "Done", "Add"), ""))</f>
        <v/>
      </c>
      <c r="E78" s="487" t="s">
        <v>332</v>
      </c>
      <c r="F78" s="474" t="s">
        <v>1318</v>
      </c>
      <c r="G78" s="475" t="s">
        <v>573</v>
      </c>
      <c r="H78" s="476" t="str" cm="1">
        <f t="array" ref="H78">IF($G$4="No", "Shade", IF(OR(INDEX(TBL_ADD_04_Qs_All[Question / Sub-question], MATCH(1, (TBL_Q_10_Tech_All[[#This Row],[Q_No]]=TBL_ADD_04_Qs_All[Q.])*("Question"=TBL_ADD_04_Qs_All[Type])*("Tech"=TBL_ADD_04_Qs_All[Section]),0))="Not used", TBL_Q_10_Tech_All[[#This Row],[Question]]="Not used
"), "Shade", ""))</f>
        <v>Shade</v>
      </c>
    </row>
    <row r="79" spans="1:8" s="100" customFormat="1" ht="25">
      <c r="A79" s="479" t="str">
        <f>IF(TBL_Q_10_Tech_All[[#This Row],[Sub_No]]="N/A", TBL_Q_10_Tech_All[[#This Row],[Q_No]], CONCATENATE(TBL_Q_10_Tech_All[[#This Row],[Q_No]], TBL_Q_10_Tech_All[[#This Row],[Sub_No]]))</f>
        <v>Q4.6.7</v>
      </c>
      <c r="B79" s="120" t="str">
        <f t="array" ref="B7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79" s="480"/>
      <c r="D79" s="486" t="str">
        <f>IF(TBL_Q_10_Tech_All[[#This Row],[Shade?]]="Shade", "", IF(TBL_Q_10_Tech_All[[#This Row],[Type]]="Question", IF(TBL_Q_10_Tech_All[[#This Row],[Response]]&lt;&gt;"", "Done", "Add"), ""))</f>
        <v/>
      </c>
      <c r="E79" s="487" t="s">
        <v>332</v>
      </c>
      <c r="F79" s="474" t="s">
        <v>1318</v>
      </c>
      <c r="G79" s="475" t="s">
        <v>574</v>
      </c>
      <c r="H79" s="476" t="str" cm="1">
        <f t="array" ref="H79">IF($G$4="No", "Shade", IF(OR(INDEX(TBL_ADD_04_Qs_All[Question / Sub-question], MATCH(1, (TBL_Q_10_Tech_All[[#This Row],[Q_No]]=TBL_ADD_04_Qs_All[Q.])*("Question"=TBL_ADD_04_Qs_All[Type])*("Tech"=TBL_ADD_04_Qs_All[Section]),0))="Not used", TBL_Q_10_Tech_All[[#This Row],[Question]]="Not used
"), "Shade", ""))</f>
        <v>Shade</v>
      </c>
    </row>
    <row r="80" spans="1:8" s="100" customFormat="1" ht="25">
      <c r="A80" s="479" t="str">
        <f>IF(TBL_Q_10_Tech_All[[#This Row],[Sub_No]]="N/A", TBL_Q_10_Tech_All[[#This Row],[Q_No]], CONCATENATE(TBL_Q_10_Tech_All[[#This Row],[Q_No]], TBL_Q_10_Tech_All[[#This Row],[Sub_No]]))</f>
        <v>Q4.6.8</v>
      </c>
      <c r="B80" s="120" t="str">
        <f t="array" ref="B8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0" s="480"/>
      <c r="D80" s="486" t="str">
        <f>IF(TBL_Q_10_Tech_All[[#This Row],[Shade?]]="Shade", "", IF(TBL_Q_10_Tech_All[[#This Row],[Type]]="Question", IF(TBL_Q_10_Tech_All[[#This Row],[Response]]&lt;&gt;"", "Done", "Add"), ""))</f>
        <v/>
      </c>
      <c r="E80" s="487" t="s">
        <v>332</v>
      </c>
      <c r="F80" s="474" t="s">
        <v>1318</v>
      </c>
      <c r="G80" s="475" t="s">
        <v>575</v>
      </c>
      <c r="H80" s="476" t="str" cm="1">
        <f t="array" ref="H80">IF($G$4="No", "Shade", IF(OR(INDEX(TBL_ADD_04_Qs_All[Question / Sub-question], MATCH(1, (TBL_Q_10_Tech_All[[#This Row],[Q_No]]=TBL_ADD_04_Qs_All[Q.])*("Question"=TBL_ADD_04_Qs_All[Type])*("Tech"=TBL_ADD_04_Qs_All[Section]),0))="Not used", TBL_Q_10_Tech_All[[#This Row],[Question]]="Not used
"), "Shade", ""))</f>
        <v>Shade</v>
      </c>
    </row>
    <row r="81" spans="1:8" s="100" customFormat="1" ht="25">
      <c r="A81" s="479" t="str">
        <f>IF(TBL_Q_10_Tech_All[[#This Row],[Sub_No]]="N/A", TBL_Q_10_Tech_All[[#This Row],[Q_No]], CONCATENATE(TBL_Q_10_Tech_All[[#This Row],[Q_No]], TBL_Q_10_Tech_All[[#This Row],[Sub_No]]))</f>
        <v>Q4.6.9</v>
      </c>
      <c r="B81" s="120" t="str">
        <f t="array" ref="B8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1" s="480"/>
      <c r="D81" s="486" t="str">
        <f>IF(TBL_Q_10_Tech_All[[#This Row],[Shade?]]="Shade", "", IF(TBL_Q_10_Tech_All[[#This Row],[Type]]="Question", IF(TBL_Q_10_Tech_All[[#This Row],[Response]]&lt;&gt;"", "Done", "Add"), ""))</f>
        <v/>
      </c>
      <c r="E81" s="487" t="s">
        <v>332</v>
      </c>
      <c r="F81" s="474" t="s">
        <v>1318</v>
      </c>
      <c r="G81" s="475" t="s">
        <v>576</v>
      </c>
      <c r="H81" s="476" t="str" cm="1">
        <f t="array" ref="H81">IF($G$4="No", "Shade", IF(OR(INDEX(TBL_ADD_04_Qs_All[Question / Sub-question], MATCH(1, (TBL_Q_10_Tech_All[[#This Row],[Q_No]]=TBL_ADD_04_Qs_All[Q.])*("Question"=TBL_ADD_04_Qs_All[Type])*("Tech"=TBL_ADD_04_Qs_All[Section]),0))="Not used", TBL_Q_10_Tech_All[[#This Row],[Question]]="Not used
"), "Shade", ""))</f>
        <v>Shade</v>
      </c>
    </row>
    <row r="82" spans="1:8" s="100" customFormat="1" ht="25">
      <c r="A82" s="481" t="str">
        <f>IF(TBL_Q_10_Tech_All[[#This Row],[Sub_No]]="N/A", TBL_Q_10_Tech_All[[#This Row],[Q_No]], CONCATENATE(TBL_Q_10_Tech_All[[#This Row],[Q_No]], TBL_Q_10_Tech_All[[#This Row],[Sub_No]]))</f>
        <v>Q4.6.10</v>
      </c>
      <c r="B82" s="482" t="str">
        <f t="array" ref="B8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2" s="483"/>
      <c r="D82" s="486" t="str">
        <f>IF(TBL_Q_10_Tech_All[[#This Row],[Shade?]]="Shade", "", IF(TBL_Q_10_Tech_All[[#This Row],[Type]]="Question", IF(TBL_Q_10_Tech_All[[#This Row],[Response]]&lt;&gt;"", "Done", "Add"), ""))</f>
        <v/>
      </c>
      <c r="E82" s="487" t="s">
        <v>332</v>
      </c>
      <c r="F82" s="474" t="s">
        <v>1318</v>
      </c>
      <c r="G82" s="475" t="s">
        <v>577</v>
      </c>
      <c r="H82" s="476" t="str" cm="1">
        <f t="array" ref="H82">IF($G$4="No", "Shade", IF(OR(INDEX(TBL_ADD_04_Qs_All[Question / Sub-question], MATCH(1, (TBL_Q_10_Tech_All[[#This Row],[Q_No]]=TBL_ADD_04_Qs_All[Q.])*("Question"=TBL_ADD_04_Qs_All[Type])*("Tech"=TBL_ADD_04_Qs_All[Section]),0))="Not used", TBL_Q_10_Tech_All[[#This Row],[Question]]="Not used
"), "Shade", ""))</f>
        <v>Shade</v>
      </c>
    </row>
    <row r="83" spans="1:8" s="100" customFormat="1" ht="26">
      <c r="A83" s="71" t="str">
        <f>IF(TBL_Q_10_Tech_All[[#This Row],[Sub_No]]="N/A", TBL_Q_10_Tech_All[[#This Row],[Q_No]], CONCATENATE(TBL_Q_10_Tech_All[[#This Row],[Q_No]], TBL_Q_10_Tech_All[[#This Row],[Sub_No]]))</f>
        <v>Q4.7</v>
      </c>
      <c r="B83" s="73" t="str">
        <f t="array" ref="B8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3" s="473"/>
      <c r="D83" s="486" t="str">
        <f>IF(TBL_Q_10_Tech_All[[#This Row],[Shade?]]="Shade", "", IF(TBL_Q_10_Tech_All[[#This Row],[Type]]="Question", IF(TBL_Q_10_Tech_All[[#This Row],[Response]]&lt;&gt;"", "Done", "Add"), ""))</f>
        <v/>
      </c>
      <c r="E83" s="487" t="s">
        <v>146</v>
      </c>
      <c r="F83" s="474" t="s">
        <v>1319</v>
      </c>
      <c r="G83" s="475" t="s">
        <v>24</v>
      </c>
      <c r="H83" s="476" t="str" cm="1">
        <f t="array" ref="H83">IF($G$4="No", "Shade", IF(OR(INDEX(TBL_ADD_04_Qs_All[Question / Sub-question], MATCH(1, (TBL_Q_10_Tech_All[[#This Row],[Q_No]]=TBL_ADD_04_Qs_All[Q.])*("Question"=TBL_ADD_04_Qs_All[Type])*("Tech"=TBL_ADD_04_Qs_All[Section]),0))="Not used", TBL_Q_10_Tech_All[[#This Row],[Question]]="Not used
"), "Shade", ""))</f>
        <v>Shade</v>
      </c>
    </row>
    <row r="84" spans="1:8" s="100" customFormat="1" ht="26">
      <c r="A84" s="477" t="str">
        <f>IF(TBL_Q_10_Tech_All[[#This Row],[Sub_No]]="N/A", TBL_Q_10_Tech_All[[#This Row],[Q_No]], CONCATENATE(TBL_Q_10_Tech_All[[#This Row],[Q_No]], TBL_Q_10_Tech_All[[#This Row],[Sub_No]]))</f>
        <v>Q4.7</v>
      </c>
      <c r="B84" s="120" t="str">
        <f t="array" ref="B8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4" s="478"/>
      <c r="D84" s="486" t="str">
        <f>IF(TBL_Q_10_Tech_All[[#This Row],[Shade?]]="Shade", "", IF(TBL_Q_10_Tech_All[[#This Row],[Type]]="Question", IF(TBL_Q_10_Tech_All[[#This Row],[Response]]&lt;&gt;"", "Done", "Add"), ""))</f>
        <v/>
      </c>
      <c r="E84" s="487" t="s">
        <v>348</v>
      </c>
      <c r="F84" s="474" t="s">
        <v>1319</v>
      </c>
      <c r="G84" s="475" t="s">
        <v>24</v>
      </c>
      <c r="H84" s="476" t="str" cm="1">
        <f t="array" ref="H84">IF($G$4="No", "Shade", IF(OR(INDEX(TBL_ADD_04_Qs_All[Question / Sub-question], MATCH(1, (TBL_Q_10_Tech_All[[#This Row],[Q_No]]=TBL_ADD_04_Qs_All[Q.])*("Question"=TBL_ADD_04_Qs_All[Type])*("Tech"=TBL_ADD_04_Qs_All[Section]),0))="Not used", TBL_Q_10_Tech_All[[#This Row],[Question]]="Not used
"), "Shade", ""))</f>
        <v>Shade</v>
      </c>
    </row>
    <row r="85" spans="1:8" s="100" customFormat="1" ht="25">
      <c r="A85" s="479" t="str">
        <f>IF(TBL_Q_10_Tech_All[[#This Row],[Sub_No]]="N/A", TBL_Q_10_Tech_All[[#This Row],[Q_No]], CONCATENATE(TBL_Q_10_Tech_All[[#This Row],[Q_No]], TBL_Q_10_Tech_All[[#This Row],[Sub_No]]))</f>
        <v>Q4.7.1</v>
      </c>
      <c r="B85" s="120" t="str">
        <f t="array" ref="B8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5" s="480"/>
      <c r="D85" s="486" t="str">
        <f>IF(TBL_Q_10_Tech_All[[#This Row],[Shade?]]="Shade", "", IF(TBL_Q_10_Tech_All[[#This Row],[Type]]="Question", IF(TBL_Q_10_Tech_All[[#This Row],[Response]]&lt;&gt;"", "Done", "Add"), ""))</f>
        <v/>
      </c>
      <c r="E85" s="487" t="s">
        <v>332</v>
      </c>
      <c r="F85" s="474" t="s">
        <v>1319</v>
      </c>
      <c r="G85" s="475" t="s">
        <v>568</v>
      </c>
      <c r="H85" s="476" t="str" cm="1">
        <f t="array" ref="H85">IF($G$4="No", "Shade", IF(OR(INDEX(TBL_ADD_04_Qs_All[Question / Sub-question], MATCH(1, (TBL_Q_10_Tech_All[[#This Row],[Q_No]]=TBL_ADD_04_Qs_All[Q.])*("Question"=TBL_ADD_04_Qs_All[Type])*("Tech"=TBL_ADD_04_Qs_All[Section]),0))="Not used", TBL_Q_10_Tech_All[[#This Row],[Question]]="Not used
"), "Shade", ""))</f>
        <v>Shade</v>
      </c>
    </row>
    <row r="86" spans="1:8" s="100" customFormat="1" ht="25">
      <c r="A86" s="479" t="str">
        <f>IF(TBL_Q_10_Tech_All[[#This Row],[Sub_No]]="N/A", TBL_Q_10_Tech_All[[#This Row],[Q_No]], CONCATENATE(TBL_Q_10_Tech_All[[#This Row],[Q_No]], TBL_Q_10_Tech_All[[#This Row],[Sub_No]]))</f>
        <v>Q4.7.2</v>
      </c>
      <c r="B86" s="120" t="str">
        <f t="array" ref="B8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6" s="480"/>
      <c r="D86" s="486" t="str">
        <f>IF(TBL_Q_10_Tech_All[[#This Row],[Shade?]]="Shade", "", IF(TBL_Q_10_Tech_All[[#This Row],[Type]]="Question", IF(TBL_Q_10_Tech_All[[#This Row],[Response]]&lt;&gt;"", "Done", "Add"), ""))</f>
        <v/>
      </c>
      <c r="E86" s="487" t="s">
        <v>332</v>
      </c>
      <c r="F86" s="474" t="s">
        <v>1319</v>
      </c>
      <c r="G86" s="475" t="s">
        <v>572</v>
      </c>
      <c r="H86" s="476" t="str" cm="1">
        <f t="array" ref="H86">IF($G$4="No", "Shade", IF(OR(INDEX(TBL_ADD_04_Qs_All[Question / Sub-question], MATCH(1, (TBL_Q_10_Tech_All[[#This Row],[Q_No]]=TBL_ADD_04_Qs_All[Q.])*("Question"=TBL_ADD_04_Qs_All[Type])*("Tech"=TBL_ADD_04_Qs_All[Section]),0))="Not used", TBL_Q_10_Tech_All[[#This Row],[Question]]="Not used
"), "Shade", ""))</f>
        <v>Shade</v>
      </c>
    </row>
    <row r="87" spans="1:8" s="100" customFormat="1" ht="25">
      <c r="A87" s="479" t="str">
        <f>IF(TBL_Q_10_Tech_All[[#This Row],[Sub_No]]="N/A", TBL_Q_10_Tech_All[[#This Row],[Q_No]], CONCATENATE(TBL_Q_10_Tech_All[[#This Row],[Q_No]], TBL_Q_10_Tech_All[[#This Row],[Sub_No]]))</f>
        <v>Q4.7.3</v>
      </c>
      <c r="B87" s="120" t="str">
        <f t="array" ref="B8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7" s="480"/>
      <c r="D87" s="486" t="str">
        <f>IF(TBL_Q_10_Tech_All[[#This Row],[Shade?]]="Shade", "", IF(TBL_Q_10_Tech_All[[#This Row],[Type]]="Question", IF(TBL_Q_10_Tech_All[[#This Row],[Response]]&lt;&gt;"", "Done", "Add"), ""))</f>
        <v/>
      </c>
      <c r="E87" s="487" t="s">
        <v>332</v>
      </c>
      <c r="F87" s="474" t="s">
        <v>1319</v>
      </c>
      <c r="G87" s="475" t="s">
        <v>569</v>
      </c>
      <c r="H87" s="476" t="str" cm="1">
        <f t="array" ref="H87">IF($G$4="No", "Shade", IF(OR(INDEX(TBL_ADD_04_Qs_All[Question / Sub-question], MATCH(1, (TBL_Q_10_Tech_All[[#This Row],[Q_No]]=TBL_ADD_04_Qs_All[Q.])*("Question"=TBL_ADD_04_Qs_All[Type])*("Tech"=TBL_ADD_04_Qs_All[Section]),0))="Not used", TBL_Q_10_Tech_All[[#This Row],[Question]]="Not used
"), "Shade", ""))</f>
        <v>Shade</v>
      </c>
    </row>
    <row r="88" spans="1:8" s="100" customFormat="1" ht="25">
      <c r="A88" s="479" t="str">
        <f>IF(TBL_Q_10_Tech_All[[#This Row],[Sub_No]]="N/A", TBL_Q_10_Tech_All[[#This Row],[Q_No]], CONCATENATE(TBL_Q_10_Tech_All[[#This Row],[Q_No]], TBL_Q_10_Tech_All[[#This Row],[Sub_No]]))</f>
        <v>Q4.7.4</v>
      </c>
      <c r="B88" s="120" t="str">
        <f t="array" ref="B8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8" s="480"/>
      <c r="D88" s="486" t="str">
        <f>IF(TBL_Q_10_Tech_All[[#This Row],[Shade?]]="Shade", "", IF(TBL_Q_10_Tech_All[[#This Row],[Type]]="Question", IF(TBL_Q_10_Tech_All[[#This Row],[Response]]&lt;&gt;"", "Done", "Add"), ""))</f>
        <v/>
      </c>
      <c r="E88" s="487" t="s">
        <v>332</v>
      </c>
      <c r="F88" s="474" t="s">
        <v>1319</v>
      </c>
      <c r="G88" s="475" t="s">
        <v>570</v>
      </c>
      <c r="H88" s="476" t="str" cm="1">
        <f t="array" ref="H88">IF($G$4="No", "Shade", IF(OR(INDEX(TBL_ADD_04_Qs_All[Question / Sub-question], MATCH(1, (TBL_Q_10_Tech_All[[#This Row],[Q_No]]=TBL_ADD_04_Qs_All[Q.])*("Question"=TBL_ADD_04_Qs_All[Type])*("Tech"=TBL_ADD_04_Qs_All[Section]),0))="Not used", TBL_Q_10_Tech_All[[#This Row],[Question]]="Not used
"), "Shade", ""))</f>
        <v>Shade</v>
      </c>
    </row>
    <row r="89" spans="1:8" s="100" customFormat="1" ht="25">
      <c r="A89" s="479" t="str">
        <f>IF(TBL_Q_10_Tech_All[[#This Row],[Sub_No]]="N/A", TBL_Q_10_Tech_All[[#This Row],[Q_No]], CONCATENATE(TBL_Q_10_Tech_All[[#This Row],[Q_No]], TBL_Q_10_Tech_All[[#This Row],[Sub_No]]))</f>
        <v>Q4.7.5</v>
      </c>
      <c r="B89" s="120" t="str">
        <f t="array" ref="B8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89" s="480"/>
      <c r="D89" s="486" t="str">
        <f>IF(TBL_Q_10_Tech_All[[#This Row],[Shade?]]="Shade", "", IF(TBL_Q_10_Tech_All[[#This Row],[Type]]="Question", IF(TBL_Q_10_Tech_All[[#This Row],[Response]]&lt;&gt;"", "Done", "Add"), ""))</f>
        <v/>
      </c>
      <c r="E89" s="487" t="s">
        <v>332</v>
      </c>
      <c r="F89" s="474" t="s">
        <v>1319</v>
      </c>
      <c r="G89" s="475" t="s">
        <v>571</v>
      </c>
      <c r="H89" s="476" t="str" cm="1">
        <f t="array" ref="H89">IF($G$4="No", "Shade", IF(OR(INDEX(TBL_ADD_04_Qs_All[Question / Sub-question], MATCH(1, (TBL_Q_10_Tech_All[[#This Row],[Q_No]]=TBL_ADD_04_Qs_All[Q.])*("Question"=TBL_ADD_04_Qs_All[Type])*("Tech"=TBL_ADD_04_Qs_All[Section]),0))="Not used", TBL_Q_10_Tech_All[[#This Row],[Question]]="Not used
"), "Shade", ""))</f>
        <v>Shade</v>
      </c>
    </row>
    <row r="90" spans="1:8" s="100" customFormat="1" ht="25">
      <c r="A90" s="479" t="str">
        <f>IF(TBL_Q_10_Tech_All[[#This Row],[Sub_No]]="N/A", TBL_Q_10_Tech_All[[#This Row],[Q_No]], CONCATENATE(TBL_Q_10_Tech_All[[#This Row],[Q_No]], TBL_Q_10_Tech_All[[#This Row],[Sub_No]]))</f>
        <v>Q4.7.6</v>
      </c>
      <c r="B90" s="120" t="str">
        <f t="array" ref="B9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0" s="480"/>
      <c r="D90" s="486" t="str">
        <f>IF(TBL_Q_10_Tech_All[[#This Row],[Shade?]]="Shade", "", IF(TBL_Q_10_Tech_All[[#This Row],[Type]]="Question", IF(TBL_Q_10_Tech_All[[#This Row],[Response]]&lt;&gt;"", "Done", "Add"), ""))</f>
        <v/>
      </c>
      <c r="E90" s="487" t="s">
        <v>332</v>
      </c>
      <c r="F90" s="474" t="s">
        <v>1319</v>
      </c>
      <c r="G90" s="475" t="s">
        <v>573</v>
      </c>
      <c r="H90" s="476" t="str" cm="1">
        <f t="array" ref="H90">IF($G$4="No", "Shade", IF(OR(INDEX(TBL_ADD_04_Qs_All[Question / Sub-question], MATCH(1, (TBL_Q_10_Tech_All[[#This Row],[Q_No]]=TBL_ADD_04_Qs_All[Q.])*("Question"=TBL_ADD_04_Qs_All[Type])*("Tech"=TBL_ADD_04_Qs_All[Section]),0))="Not used", TBL_Q_10_Tech_All[[#This Row],[Question]]="Not used
"), "Shade", ""))</f>
        <v>Shade</v>
      </c>
    </row>
    <row r="91" spans="1:8" s="100" customFormat="1" ht="25">
      <c r="A91" s="479" t="str">
        <f>IF(TBL_Q_10_Tech_All[[#This Row],[Sub_No]]="N/A", TBL_Q_10_Tech_All[[#This Row],[Q_No]], CONCATENATE(TBL_Q_10_Tech_All[[#This Row],[Q_No]], TBL_Q_10_Tech_All[[#This Row],[Sub_No]]))</f>
        <v>Q4.7.7</v>
      </c>
      <c r="B91" s="120" t="str">
        <f t="array" ref="B9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1" s="480"/>
      <c r="D91" s="486" t="str">
        <f>IF(TBL_Q_10_Tech_All[[#This Row],[Shade?]]="Shade", "", IF(TBL_Q_10_Tech_All[[#This Row],[Type]]="Question", IF(TBL_Q_10_Tech_All[[#This Row],[Response]]&lt;&gt;"", "Done", "Add"), ""))</f>
        <v/>
      </c>
      <c r="E91" s="487" t="s">
        <v>332</v>
      </c>
      <c r="F91" s="474" t="s">
        <v>1319</v>
      </c>
      <c r="G91" s="475" t="s">
        <v>574</v>
      </c>
      <c r="H91" s="476" t="str" cm="1">
        <f t="array" ref="H91">IF($G$4="No", "Shade", IF(OR(INDEX(TBL_ADD_04_Qs_All[Question / Sub-question], MATCH(1, (TBL_Q_10_Tech_All[[#This Row],[Q_No]]=TBL_ADD_04_Qs_All[Q.])*("Question"=TBL_ADD_04_Qs_All[Type])*("Tech"=TBL_ADD_04_Qs_All[Section]),0))="Not used", TBL_Q_10_Tech_All[[#This Row],[Question]]="Not used
"), "Shade", ""))</f>
        <v>Shade</v>
      </c>
    </row>
    <row r="92" spans="1:8" s="100" customFormat="1" ht="25">
      <c r="A92" s="479" t="str">
        <f>IF(TBL_Q_10_Tech_All[[#This Row],[Sub_No]]="N/A", TBL_Q_10_Tech_All[[#This Row],[Q_No]], CONCATENATE(TBL_Q_10_Tech_All[[#This Row],[Q_No]], TBL_Q_10_Tech_All[[#This Row],[Sub_No]]))</f>
        <v>Q4.7.8</v>
      </c>
      <c r="B92" s="120" t="str">
        <f t="array" ref="B9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2" s="480"/>
      <c r="D92" s="486" t="str">
        <f>IF(TBL_Q_10_Tech_All[[#This Row],[Shade?]]="Shade", "", IF(TBL_Q_10_Tech_All[[#This Row],[Type]]="Question", IF(TBL_Q_10_Tech_All[[#This Row],[Response]]&lt;&gt;"", "Done", "Add"), ""))</f>
        <v/>
      </c>
      <c r="E92" s="487" t="s">
        <v>332</v>
      </c>
      <c r="F92" s="474" t="s">
        <v>1319</v>
      </c>
      <c r="G92" s="475" t="s">
        <v>575</v>
      </c>
      <c r="H92" s="476" t="str" cm="1">
        <f t="array" ref="H92">IF($G$4="No", "Shade", IF(OR(INDEX(TBL_ADD_04_Qs_All[Question / Sub-question], MATCH(1, (TBL_Q_10_Tech_All[[#This Row],[Q_No]]=TBL_ADD_04_Qs_All[Q.])*("Question"=TBL_ADD_04_Qs_All[Type])*("Tech"=TBL_ADD_04_Qs_All[Section]),0))="Not used", TBL_Q_10_Tech_All[[#This Row],[Question]]="Not used
"), "Shade", ""))</f>
        <v>Shade</v>
      </c>
    </row>
    <row r="93" spans="1:8" s="100" customFormat="1" ht="25">
      <c r="A93" s="479" t="str">
        <f>IF(TBL_Q_10_Tech_All[[#This Row],[Sub_No]]="N/A", TBL_Q_10_Tech_All[[#This Row],[Q_No]], CONCATENATE(TBL_Q_10_Tech_All[[#This Row],[Q_No]], TBL_Q_10_Tech_All[[#This Row],[Sub_No]]))</f>
        <v>Q4.7.9</v>
      </c>
      <c r="B93" s="120" t="str">
        <f t="array" ref="B9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3" s="480"/>
      <c r="D93" s="486" t="str">
        <f>IF(TBL_Q_10_Tech_All[[#This Row],[Shade?]]="Shade", "", IF(TBL_Q_10_Tech_All[[#This Row],[Type]]="Question", IF(TBL_Q_10_Tech_All[[#This Row],[Response]]&lt;&gt;"", "Done", "Add"), ""))</f>
        <v/>
      </c>
      <c r="E93" s="487" t="s">
        <v>332</v>
      </c>
      <c r="F93" s="474" t="s">
        <v>1319</v>
      </c>
      <c r="G93" s="475" t="s">
        <v>576</v>
      </c>
      <c r="H93" s="476" t="str" cm="1">
        <f t="array" ref="H93">IF($G$4="No", "Shade", IF(OR(INDEX(TBL_ADD_04_Qs_All[Question / Sub-question], MATCH(1, (TBL_Q_10_Tech_All[[#This Row],[Q_No]]=TBL_ADD_04_Qs_All[Q.])*("Question"=TBL_ADD_04_Qs_All[Type])*("Tech"=TBL_ADD_04_Qs_All[Section]),0))="Not used", TBL_Q_10_Tech_All[[#This Row],[Question]]="Not used
"), "Shade", ""))</f>
        <v>Shade</v>
      </c>
    </row>
    <row r="94" spans="1:8" s="100" customFormat="1" ht="25">
      <c r="A94" s="481" t="str">
        <f>IF(TBL_Q_10_Tech_All[[#This Row],[Sub_No]]="N/A", TBL_Q_10_Tech_All[[#This Row],[Q_No]], CONCATENATE(TBL_Q_10_Tech_All[[#This Row],[Q_No]], TBL_Q_10_Tech_All[[#This Row],[Sub_No]]))</f>
        <v>Q4.7.10</v>
      </c>
      <c r="B94" s="482" t="str">
        <f t="array" ref="B9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4" s="483"/>
      <c r="D94" s="486" t="str">
        <f>IF(TBL_Q_10_Tech_All[[#This Row],[Shade?]]="Shade", "", IF(TBL_Q_10_Tech_All[[#This Row],[Type]]="Question", IF(TBL_Q_10_Tech_All[[#This Row],[Response]]&lt;&gt;"", "Done", "Add"), ""))</f>
        <v/>
      </c>
      <c r="E94" s="487" t="s">
        <v>332</v>
      </c>
      <c r="F94" s="474" t="s">
        <v>1319</v>
      </c>
      <c r="G94" s="475" t="s">
        <v>577</v>
      </c>
      <c r="H94" s="476" t="str" cm="1">
        <f t="array" ref="H94">IF($G$4="No", "Shade", IF(OR(INDEX(TBL_ADD_04_Qs_All[Question / Sub-question], MATCH(1, (TBL_Q_10_Tech_All[[#This Row],[Q_No]]=TBL_ADD_04_Qs_All[Q.])*("Question"=TBL_ADD_04_Qs_All[Type])*("Tech"=TBL_ADD_04_Qs_All[Section]),0))="Not used", TBL_Q_10_Tech_All[[#This Row],[Question]]="Not used
"), "Shade", ""))</f>
        <v>Shade</v>
      </c>
    </row>
    <row r="95" spans="1:8" s="100" customFormat="1" ht="26">
      <c r="A95" s="71" t="str">
        <f>IF(TBL_Q_10_Tech_All[[#This Row],[Sub_No]]="N/A", TBL_Q_10_Tech_All[[#This Row],[Q_No]], CONCATENATE(TBL_Q_10_Tech_All[[#This Row],[Q_No]], TBL_Q_10_Tech_All[[#This Row],[Sub_No]]))</f>
        <v>Q4.8</v>
      </c>
      <c r="B95" s="73" t="str">
        <f t="array" ref="B9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5" s="473"/>
      <c r="D95" s="486" t="str">
        <f>IF(TBL_Q_10_Tech_All[[#This Row],[Shade?]]="Shade", "", IF(TBL_Q_10_Tech_All[[#This Row],[Type]]="Question", IF(TBL_Q_10_Tech_All[[#This Row],[Response]]&lt;&gt;"", "Done", "Add"), ""))</f>
        <v/>
      </c>
      <c r="E95" s="487" t="s">
        <v>146</v>
      </c>
      <c r="F95" s="474" t="s">
        <v>1320</v>
      </c>
      <c r="G95" s="475" t="s">
        <v>24</v>
      </c>
      <c r="H95" s="476" t="str" cm="1">
        <f t="array" ref="H95">IF($G$4="No", "Shade", IF(OR(INDEX(TBL_ADD_04_Qs_All[Question / Sub-question], MATCH(1, (TBL_Q_10_Tech_All[[#This Row],[Q_No]]=TBL_ADD_04_Qs_All[Q.])*("Question"=TBL_ADD_04_Qs_All[Type])*("Tech"=TBL_ADD_04_Qs_All[Section]),0))="Not used", TBL_Q_10_Tech_All[[#This Row],[Question]]="Not used
"), "Shade", ""))</f>
        <v>Shade</v>
      </c>
    </row>
    <row r="96" spans="1:8" s="100" customFormat="1" ht="26">
      <c r="A96" s="477" t="str">
        <f>IF(TBL_Q_10_Tech_All[[#This Row],[Sub_No]]="N/A", TBL_Q_10_Tech_All[[#This Row],[Q_No]], CONCATENATE(TBL_Q_10_Tech_All[[#This Row],[Q_No]], TBL_Q_10_Tech_All[[#This Row],[Sub_No]]))</f>
        <v>Q4.8</v>
      </c>
      <c r="B96" s="120" t="str">
        <f t="array" ref="B9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6" s="478"/>
      <c r="D96" s="486" t="str">
        <f>IF(TBL_Q_10_Tech_All[[#This Row],[Shade?]]="Shade", "", IF(TBL_Q_10_Tech_All[[#This Row],[Type]]="Question", IF(TBL_Q_10_Tech_All[[#This Row],[Response]]&lt;&gt;"", "Done", "Add"), ""))</f>
        <v/>
      </c>
      <c r="E96" s="487" t="s">
        <v>348</v>
      </c>
      <c r="F96" s="474" t="s">
        <v>1320</v>
      </c>
      <c r="G96" s="475" t="s">
        <v>24</v>
      </c>
      <c r="H96" s="476" t="str" cm="1">
        <f t="array" ref="H96">IF($G$4="No", "Shade", IF(OR(INDEX(TBL_ADD_04_Qs_All[Question / Sub-question], MATCH(1, (TBL_Q_10_Tech_All[[#This Row],[Q_No]]=TBL_ADD_04_Qs_All[Q.])*("Question"=TBL_ADD_04_Qs_All[Type])*("Tech"=TBL_ADD_04_Qs_All[Section]),0))="Not used", TBL_Q_10_Tech_All[[#This Row],[Question]]="Not used
"), "Shade", ""))</f>
        <v>Shade</v>
      </c>
    </row>
    <row r="97" spans="1:8" s="100" customFormat="1" ht="25">
      <c r="A97" s="479" t="str">
        <f>IF(TBL_Q_10_Tech_All[[#This Row],[Sub_No]]="N/A", TBL_Q_10_Tech_All[[#This Row],[Q_No]], CONCATENATE(TBL_Q_10_Tech_All[[#This Row],[Q_No]], TBL_Q_10_Tech_All[[#This Row],[Sub_No]]))</f>
        <v>Q4.8.1</v>
      </c>
      <c r="B97" s="120" t="str">
        <f t="array" ref="B9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7" s="480"/>
      <c r="D97" s="486" t="str">
        <f>IF(TBL_Q_10_Tech_All[[#This Row],[Shade?]]="Shade", "", IF(TBL_Q_10_Tech_All[[#This Row],[Type]]="Question", IF(TBL_Q_10_Tech_All[[#This Row],[Response]]&lt;&gt;"", "Done", "Add"), ""))</f>
        <v/>
      </c>
      <c r="E97" s="487" t="s">
        <v>332</v>
      </c>
      <c r="F97" s="474" t="s">
        <v>1320</v>
      </c>
      <c r="G97" s="475" t="s">
        <v>568</v>
      </c>
      <c r="H97" s="476" t="str" cm="1">
        <f t="array" ref="H97">IF($G$4="No", "Shade", IF(OR(INDEX(TBL_ADD_04_Qs_All[Question / Sub-question], MATCH(1, (TBL_Q_10_Tech_All[[#This Row],[Q_No]]=TBL_ADD_04_Qs_All[Q.])*("Question"=TBL_ADD_04_Qs_All[Type])*("Tech"=TBL_ADD_04_Qs_All[Section]),0))="Not used", TBL_Q_10_Tech_All[[#This Row],[Question]]="Not used
"), "Shade", ""))</f>
        <v>Shade</v>
      </c>
    </row>
    <row r="98" spans="1:8" s="100" customFormat="1" ht="25">
      <c r="A98" s="479" t="str">
        <f>IF(TBL_Q_10_Tech_All[[#This Row],[Sub_No]]="N/A", TBL_Q_10_Tech_All[[#This Row],[Q_No]], CONCATENATE(TBL_Q_10_Tech_All[[#This Row],[Q_No]], TBL_Q_10_Tech_All[[#This Row],[Sub_No]]))</f>
        <v>Q4.8.2</v>
      </c>
      <c r="B98" s="120" t="str">
        <f t="array" ref="B9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8" s="480"/>
      <c r="D98" s="486" t="str">
        <f>IF(TBL_Q_10_Tech_All[[#This Row],[Shade?]]="Shade", "", IF(TBL_Q_10_Tech_All[[#This Row],[Type]]="Question", IF(TBL_Q_10_Tech_All[[#This Row],[Response]]&lt;&gt;"", "Done", "Add"), ""))</f>
        <v/>
      </c>
      <c r="E98" s="487" t="s">
        <v>332</v>
      </c>
      <c r="F98" s="474" t="s">
        <v>1320</v>
      </c>
      <c r="G98" s="475" t="s">
        <v>572</v>
      </c>
      <c r="H98" s="476" t="str" cm="1">
        <f t="array" ref="H98">IF($G$4="No", "Shade", IF(OR(INDEX(TBL_ADD_04_Qs_All[Question / Sub-question], MATCH(1, (TBL_Q_10_Tech_All[[#This Row],[Q_No]]=TBL_ADD_04_Qs_All[Q.])*("Question"=TBL_ADD_04_Qs_All[Type])*("Tech"=TBL_ADD_04_Qs_All[Section]),0))="Not used", TBL_Q_10_Tech_All[[#This Row],[Question]]="Not used
"), "Shade", ""))</f>
        <v>Shade</v>
      </c>
    </row>
    <row r="99" spans="1:8" s="100" customFormat="1" ht="25">
      <c r="A99" s="479" t="str">
        <f>IF(TBL_Q_10_Tech_All[[#This Row],[Sub_No]]="N/A", TBL_Q_10_Tech_All[[#This Row],[Q_No]], CONCATENATE(TBL_Q_10_Tech_All[[#This Row],[Q_No]], TBL_Q_10_Tech_All[[#This Row],[Sub_No]]))</f>
        <v>Q4.8.3</v>
      </c>
      <c r="B99" s="120" t="str">
        <f t="array" ref="B9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99" s="480"/>
      <c r="D99" s="486" t="str">
        <f>IF(TBL_Q_10_Tech_All[[#This Row],[Shade?]]="Shade", "", IF(TBL_Q_10_Tech_All[[#This Row],[Type]]="Question", IF(TBL_Q_10_Tech_All[[#This Row],[Response]]&lt;&gt;"", "Done", "Add"), ""))</f>
        <v/>
      </c>
      <c r="E99" s="487" t="s">
        <v>332</v>
      </c>
      <c r="F99" s="474" t="s">
        <v>1320</v>
      </c>
      <c r="G99" s="475" t="s">
        <v>569</v>
      </c>
      <c r="H99" s="476" t="str" cm="1">
        <f t="array" ref="H99">IF($G$4="No", "Shade", IF(OR(INDEX(TBL_ADD_04_Qs_All[Question / Sub-question], MATCH(1, (TBL_Q_10_Tech_All[[#This Row],[Q_No]]=TBL_ADD_04_Qs_All[Q.])*("Question"=TBL_ADD_04_Qs_All[Type])*("Tech"=TBL_ADD_04_Qs_All[Section]),0))="Not used", TBL_Q_10_Tech_All[[#This Row],[Question]]="Not used
"), "Shade", ""))</f>
        <v>Shade</v>
      </c>
    </row>
    <row r="100" spans="1:8" s="100" customFormat="1" ht="25">
      <c r="A100" s="479" t="str">
        <f>IF(TBL_Q_10_Tech_All[[#This Row],[Sub_No]]="N/A", TBL_Q_10_Tech_All[[#This Row],[Q_No]], CONCATENATE(TBL_Q_10_Tech_All[[#This Row],[Q_No]], TBL_Q_10_Tech_All[[#This Row],[Sub_No]]))</f>
        <v>Q4.8.4</v>
      </c>
      <c r="B100" s="120" t="str">
        <f t="array" ref="B10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0" s="480"/>
      <c r="D100" s="486" t="str">
        <f>IF(TBL_Q_10_Tech_All[[#This Row],[Shade?]]="Shade", "", IF(TBL_Q_10_Tech_All[[#This Row],[Type]]="Question", IF(TBL_Q_10_Tech_All[[#This Row],[Response]]&lt;&gt;"", "Done", "Add"), ""))</f>
        <v/>
      </c>
      <c r="E100" s="487" t="s">
        <v>332</v>
      </c>
      <c r="F100" s="474" t="s">
        <v>1320</v>
      </c>
      <c r="G100" s="475" t="s">
        <v>570</v>
      </c>
      <c r="H100" s="476" t="str" cm="1">
        <f t="array" ref="H100">IF($G$4="No", "Shade", IF(OR(INDEX(TBL_ADD_04_Qs_All[Question / Sub-question], MATCH(1, (TBL_Q_10_Tech_All[[#This Row],[Q_No]]=TBL_ADD_04_Qs_All[Q.])*("Question"=TBL_ADD_04_Qs_All[Type])*("Tech"=TBL_ADD_04_Qs_All[Section]),0))="Not used", TBL_Q_10_Tech_All[[#This Row],[Question]]="Not used
"), "Shade", ""))</f>
        <v>Shade</v>
      </c>
    </row>
    <row r="101" spans="1:8" s="100" customFormat="1" ht="25">
      <c r="A101" s="479" t="str">
        <f>IF(TBL_Q_10_Tech_All[[#This Row],[Sub_No]]="N/A", TBL_Q_10_Tech_All[[#This Row],[Q_No]], CONCATENATE(TBL_Q_10_Tech_All[[#This Row],[Q_No]], TBL_Q_10_Tech_All[[#This Row],[Sub_No]]))</f>
        <v>Q4.8.5</v>
      </c>
      <c r="B101" s="120" t="str">
        <f t="array" ref="B10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1" s="480"/>
      <c r="D101" s="486" t="str">
        <f>IF(TBL_Q_10_Tech_All[[#This Row],[Shade?]]="Shade", "", IF(TBL_Q_10_Tech_All[[#This Row],[Type]]="Question", IF(TBL_Q_10_Tech_All[[#This Row],[Response]]&lt;&gt;"", "Done", "Add"), ""))</f>
        <v/>
      </c>
      <c r="E101" s="487" t="s">
        <v>332</v>
      </c>
      <c r="F101" s="474" t="s">
        <v>1320</v>
      </c>
      <c r="G101" s="475" t="s">
        <v>571</v>
      </c>
      <c r="H101" s="476" t="str" cm="1">
        <f t="array" ref="H101">IF($G$4="No", "Shade", IF(OR(INDEX(TBL_ADD_04_Qs_All[Question / Sub-question], MATCH(1, (TBL_Q_10_Tech_All[[#This Row],[Q_No]]=TBL_ADD_04_Qs_All[Q.])*("Question"=TBL_ADD_04_Qs_All[Type])*("Tech"=TBL_ADD_04_Qs_All[Section]),0))="Not used", TBL_Q_10_Tech_All[[#This Row],[Question]]="Not used
"), "Shade", ""))</f>
        <v>Shade</v>
      </c>
    </row>
    <row r="102" spans="1:8" s="100" customFormat="1" ht="25">
      <c r="A102" s="479" t="str">
        <f>IF(TBL_Q_10_Tech_All[[#This Row],[Sub_No]]="N/A", TBL_Q_10_Tech_All[[#This Row],[Q_No]], CONCATENATE(TBL_Q_10_Tech_All[[#This Row],[Q_No]], TBL_Q_10_Tech_All[[#This Row],[Sub_No]]))</f>
        <v>Q4.8.6</v>
      </c>
      <c r="B102" s="120" t="str">
        <f t="array" ref="B10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2" s="480"/>
      <c r="D102" s="486" t="str">
        <f>IF(TBL_Q_10_Tech_All[[#This Row],[Shade?]]="Shade", "", IF(TBL_Q_10_Tech_All[[#This Row],[Type]]="Question", IF(TBL_Q_10_Tech_All[[#This Row],[Response]]&lt;&gt;"", "Done", "Add"), ""))</f>
        <v/>
      </c>
      <c r="E102" s="487" t="s">
        <v>332</v>
      </c>
      <c r="F102" s="474" t="s">
        <v>1320</v>
      </c>
      <c r="G102" s="475" t="s">
        <v>573</v>
      </c>
      <c r="H102" s="476" t="str" cm="1">
        <f t="array" ref="H102">IF($G$4="No", "Shade", IF(OR(INDEX(TBL_ADD_04_Qs_All[Question / Sub-question], MATCH(1, (TBL_Q_10_Tech_All[[#This Row],[Q_No]]=TBL_ADD_04_Qs_All[Q.])*("Question"=TBL_ADD_04_Qs_All[Type])*("Tech"=TBL_ADD_04_Qs_All[Section]),0))="Not used", TBL_Q_10_Tech_All[[#This Row],[Question]]="Not used
"), "Shade", ""))</f>
        <v>Shade</v>
      </c>
    </row>
    <row r="103" spans="1:8" s="100" customFormat="1" ht="25">
      <c r="A103" s="479" t="str">
        <f>IF(TBL_Q_10_Tech_All[[#This Row],[Sub_No]]="N/A", TBL_Q_10_Tech_All[[#This Row],[Q_No]], CONCATENATE(TBL_Q_10_Tech_All[[#This Row],[Q_No]], TBL_Q_10_Tech_All[[#This Row],[Sub_No]]))</f>
        <v>Q4.8.7</v>
      </c>
      <c r="B103" s="120" t="str">
        <f t="array" ref="B10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3" s="480"/>
      <c r="D103" s="486" t="str">
        <f>IF(TBL_Q_10_Tech_All[[#This Row],[Shade?]]="Shade", "", IF(TBL_Q_10_Tech_All[[#This Row],[Type]]="Question", IF(TBL_Q_10_Tech_All[[#This Row],[Response]]&lt;&gt;"", "Done", "Add"), ""))</f>
        <v/>
      </c>
      <c r="E103" s="487" t="s">
        <v>332</v>
      </c>
      <c r="F103" s="474" t="s">
        <v>1320</v>
      </c>
      <c r="G103" s="475" t="s">
        <v>574</v>
      </c>
      <c r="H103" s="476" t="str" cm="1">
        <f t="array" ref="H103">IF($G$4="No", "Shade", IF(OR(INDEX(TBL_ADD_04_Qs_All[Question / Sub-question], MATCH(1, (TBL_Q_10_Tech_All[[#This Row],[Q_No]]=TBL_ADD_04_Qs_All[Q.])*("Question"=TBL_ADD_04_Qs_All[Type])*("Tech"=TBL_ADD_04_Qs_All[Section]),0))="Not used", TBL_Q_10_Tech_All[[#This Row],[Question]]="Not used
"), "Shade", ""))</f>
        <v>Shade</v>
      </c>
    </row>
    <row r="104" spans="1:8" s="100" customFormat="1" ht="25">
      <c r="A104" s="479" t="str">
        <f>IF(TBL_Q_10_Tech_All[[#This Row],[Sub_No]]="N/A", TBL_Q_10_Tech_All[[#This Row],[Q_No]], CONCATENATE(TBL_Q_10_Tech_All[[#This Row],[Q_No]], TBL_Q_10_Tech_All[[#This Row],[Sub_No]]))</f>
        <v>Q4.8.8</v>
      </c>
      <c r="B104" s="120" t="str">
        <f t="array" ref="B10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4" s="480"/>
      <c r="D104" s="486" t="str">
        <f>IF(TBL_Q_10_Tech_All[[#This Row],[Shade?]]="Shade", "", IF(TBL_Q_10_Tech_All[[#This Row],[Type]]="Question", IF(TBL_Q_10_Tech_All[[#This Row],[Response]]&lt;&gt;"", "Done", "Add"), ""))</f>
        <v/>
      </c>
      <c r="E104" s="487" t="s">
        <v>332</v>
      </c>
      <c r="F104" s="474" t="s">
        <v>1320</v>
      </c>
      <c r="G104" s="475" t="s">
        <v>575</v>
      </c>
      <c r="H104" s="476" t="str" cm="1">
        <f t="array" ref="H104">IF($G$4="No", "Shade", IF(OR(INDEX(TBL_ADD_04_Qs_All[Question / Sub-question], MATCH(1, (TBL_Q_10_Tech_All[[#This Row],[Q_No]]=TBL_ADD_04_Qs_All[Q.])*("Question"=TBL_ADD_04_Qs_All[Type])*("Tech"=TBL_ADD_04_Qs_All[Section]),0))="Not used", TBL_Q_10_Tech_All[[#This Row],[Question]]="Not used
"), "Shade", ""))</f>
        <v>Shade</v>
      </c>
    </row>
    <row r="105" spans="1:8" s="100" customFormat="1" ht="25">
      <c r="A105" s="479" t="str">
        <f>IF(TBL_Q_10_Tech_All[[#This Row],[Sub_No]]="N/A", TBL_Q_10_Tech_All[[#This Row],[Q_No]], CONCATENATE(TBL_Q_10_Tech_All[[#This Row],[Q_No]], TBL_Q_10_Tech_All[[#This Row],[Sub_No]]))</f>
        <v>Q4.8.9</v>
      </c>
      <c r="B105" s="120" t="str">
        <f t="array" ref="B10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5" s="480"/>
      <c r="D105" s="486" t="str">
        <f>IF(TBL_Q_10_Tech_All[[#This Row],[Shade?]]="Shade", "", IF(TBL_Q_10_Tech_All[[#This Row],[Type]]="Question", IF(TBL_Q_10_Tech_All[[#This Row],[Response]]&lt;&gt;"", "Done", "Add"), ""))</f>
        <v/>
      </c>
      <c r="E105" s="487" t="s">
        <v>332</v>
      </c>
      <c r="F105" s="474" t="s">
        <v>1320</v>
      </c>
      <c r="G105" s="475" t="s">
        <v>576</v>
      </c>
      <c r="H105" s="476" t="str" cm="1">
        <f t="array" ref="H105">IF($G$4="No", "Shade", IF(OR(INDEX(TBL_ADD_04_Qs_All[Question / Sub-question], MATCH(1, (TBL_Q_10_Tech_All[[#This Row],[Q_No]]=TBL_ADD_04_Qs_All[Q.])*("Question"=TBL_ADD_04_Qs_All[Type])*("Tech"=TBL_ADD_04_Qs_All[Section]),0))="Not used", TBL_Q_10_Tech_All[[#This Row],[Question]]="Not used
"), "Shade", ""))</f>
        <v>Shade</v>
      </c>
    </row>
    <row r="106" spans="1:8" s="100" customFormat="1" ht="25">
      <c r="A106" s="481" t="str">
        <f>IF(TBL_Q_10_Tech_All[[#This Row],[Sub_No]]="N/A", TBL_Q_10_Tech_All[[#This Row],[Q_No]], CONCATENATE(TBL_Q_10_Tech_All[[#This Row],[Q_No]], TBL_Q_10_Tech_All[[#This Row],[Sub_No]]))</f>
        <v>Q4.8.10</v>
      </c>
      <c r="B106" s="482" t="str">
        <f t="array" ref="B10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6" s="483"/>
      <c r="D106" s="486" t="str">
        <f>IF(TBL_Q_10_Tech_All[[#This Row],[Shade?]]="Shade", "", IF(TBL_Q_10_Tech_All[[#This Row],[Type]]="Question", IF(TBL_Q_10_Tech_All[[#This Row],[Response]]&lt;&gt;"", "Done", "Add"), ""))</f>
        <v/>
      </c>
      <c r="E106" s="487" t="s">
        <v>332</v>
      </c>
      <c r="F106" s="474" t="s">
        <v>1320</v>
      </c>
      <c r="G106" s="475" t="s">
        <v>577</v>
      </c>
      <c r="H106" s="476" t="str" cm="1">
        <f t="array" ref="H106">IF($G$4="No", "Shade", IF(OR(INDEX(TBL_ADD_04_Qs_All[Question / Sub-question], MATCH(1, (TBL_Q_10_Tech_All[[#This Row],[Q_No]]=TBL_ADD_04_Qs_All[Q.])*("Question"=TBL_ADD_04_Qs_All[Type])*("Tech"=TBL_ADD_04_Qs_All[Section]),0))="Not used", TBL_Q_10_Tech_All[[#This Row],[Question]]="Not used
"), "Shade", ""))</f>
        <v>Shade</v>
      </c>
    </row>
    <row r="107" spans="1:8" s="100" customFormat="1" ht="26">
      <c r="A107" s="71" t="str">
        <f>IF(TBL_Q_10_Tech_All[[#This Row],[Sub_No]]="N/A", TBL_Q_10_Tech_All[[#This Row],[Q_No]], CONCATENATE(TBL_Q_10_Tech_All[[#This Row],[Q_No]], TBL_Q_10_Tech_All[[#This Row],[Sub_No]]))</f>
        <v>Q4.9</v>
      </c>
      <c r="B107" s="73" t="str">
        <f t="array" ref="B10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7" s="473"/>
      <c r="D107" s="486" t="str">
        <f>IF(TBL_Q_10_Tech_All[[#This Row],[Shade?]]="Shade", "", IF(TBL_Q_10_Tech_All[[#This Row],[Type]]="Question", IF(TBL_Q_10_Tech_All[[#This Row],[Response]]&lt;&gt;"", "Done", "Add"), ""))</f>
        <v/>
      </c>
      <c r="E107" s="487" t="s">
        <v>146</v>
      </c>
      <c r="F107" s="474" t="s">
        <v>1321</v>
      </c>
      <c r="G107" s="475" t="s">
        <v>24</v>
      </c>
      <c r="H107" s="476" t="str" cm="1">
        <f t="array" ref="H107">IF($G$4="No", "Shade", IF(OR(INDEX(TBL_ADD_04_Qs_All[Question / Sub-question], MATCH(1, (TBL_Q_10_Tech_All[[#This Row],[Q_No]]=TBL_ADD_04_Qs_All[Q.])*("Question"=TBL_ADD_04_Qs_All[Type])*("Tech"=TBL_ADD_04_Qs_All[Section]),0))="Not used", TBL_Q_10_Tech_All[[#This Row],[Question]]="Not used
"), "Shade", ""))</f>
        <v>Shade</v>
      </c>
    </row>
    <row r="108" spans="1:8" s="100" customFormat="1" ht="26">
      <c r="A108" s="477" t="str">
        <f>IF(TBL_Q_10_Tech_All[[#This Row],[Sub_No]]="N/A", TBL_Q_10_Tech_All[[#This Row],[Q_No]], CONCATENATE(TBL_Q_10_Tech_All[[#This Row],[Q_No]], TBL_Q_10_Tech_All[[#This Row],[Sub_No]]))</f>
        <v>Q4.9</v>
      </c>
      <c r="B108" s="120" t="str">
        <f t="array" ref="B10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8" s="478"/>
      <c r="D108" s="486" t="str">
        <f>IF(TBL_Q_10_Tech_All[[#This Row],[Shade?]]="Shade", "", IF(TBL_Q_10_Tech_All[[#This Row],[Type]]="Question", IF(TBL_Q_10_Tech_All[[#This Row],[Response]]&lt;&gt;"", "Done", "Add"), ""))</f>
        <v/>
      </c>
      <c r="E108" s="487" t="s">
        <v>348</v>
      </c>
      <c r="F108" s="474" t="s">
        <v>1321</v>
      </c>
      <c r="G108" s="475" t="s">
        <v>24</v>
      </c>
      <c r="H108" s="476" t="str" cm="1">
        <f t="array" ref="H108">IF($G$4="No", "Shade", IF(OR(INDEX(TBL_ADD_04_Qs_All[Question / Sub-question], MATCH(1, (TBL_Q_10_Tech_All[[#This Row],[Q_No]]=TBL_ADD_04_Qs_All[Q.])*("Question"=TBL_ADD_04_Qs_All[Type])*("Tech"=TBL_ADD_04_Qs_All[Section]),0))="Not used", TBL_Q_10_Tech_All[[#This Row],[Question]]="Not used
"), "Shade", ""))</f>
        <v>Shade</v>
      </c>
    </row>
    <row r="109" spans="1:8" s="100" customFormat="1" ht="25">
      <c r="A109" s="479" t="str">
        <f>IF(TBL_Q_10_Tech_All[[#This Row],[Sub_No]]="N/A", TBL_Q_10_Tech_All[[#This Row],[Q_No]], CONCATENATE(TBL_Q_10_Tech_All[[#This Row],[Q_No]], TBL_Q_10_Tech_All[[#This Row],[Sub_No]]))</f>
        <v>Q4.9.1</v>
      </c>
      <c r="B109" s="120" t="str">
        <f t="array" ref="B10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09" s="480"/>
      <c r="D109" s="486" t="str">
        <f>IF(TBL_Q_10_Tech_All[[#This Row],[Shade?]]="Shade", "", IF(TBL_Q_10_Tech_All[[#This Row],[Type]]="Question", IF(TBL_Q_10_Tech_All[[#This Row],[Response]]&lt;&gt;"", "Done", "Add"), ""))</f>
        <v/>
      </c>
      <c r="E109" s="487" t="s">
        <v>332</v>
      </c>
      <c r="F109" s="474" t="s">
        <v>1321</v>
      </c>
      <c r="G109" s="475" t="s">
        <v>568</v>
      </c>
      <c r="H109" s="476" t="str" cm="1">
        <f t="array" ref="H109">IF($G$4="No", "Shade", IF(OR(INDEX(TBL_ADD_04_Qs_All[Question / Sub-question], MATCH(1, (TBL_Q_10_Tech_All[[#This Row],[Q_No]]=TBL_ADD_04_Qs_All[Q.])*("Question"=TBL_ADD_04_Qs_All[Type])*("Tech"=TBL_ADD_04_Qs_All[Section]),0))="Not used", TBL_Q_10_Tech_All[[#This Row],[Question]]="Not used
"), "Shade", ""))</f>
        <v>Shade</v>
      </c>
    </row>
    <row r="110" spans="1:8" s="100" customFormat="1" ht="25">
      <c r="A110" s="479" t="str">
        <f>IF(TBL_Q_10_Tech_All[[#This Row],[Sub_No]]="N/A", TBL_Q_10_Tech_All[[#This Row],[Q_No]], CONCATENATE(TBL_Q_10_Tech_All[[#This Row],[Q_No]], TBL_Q_10_Tech_All[[#This Row],[Sub_No]]))</f>
        <v>Q4.9.2</v>
      </c>
      <c r="B110" s="120" t="str">
        <f t="array" ref="B11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0" s="480"/>
      <c r="D110" s="486" t="str">
        <f>IF(TBL_Q_10_Tech_All[[#This Row],[Shade?]]="Shade", "", IF(TBL_Q_10_Tech_All[[#This Row],[Type]]="Question", IF(TBL_Q_10_Tech_All[[#This Row],[Response]]&lt;&gt;"", "Done", "Add"), ""))</f>
        <v/>
      </c>
      <c r="E110" s="487" t="s">
        <v>332</v>
      </c>
      <c r="F110" s="474" t="s">
        <v>1321</v>
      </c>
      <c r="G110" s="475" t="s">
        <v>572</v>
      </c>
      <c r="H110" s="476" t="str" cm="1">
        <f t="array" ref="H110">IF($G$4="No", "Shade", IF(OR(INDEX(TBL_ADD_04_Qs_All[Question / Sub-question], MATCH(1, (TBL_Q_10_Tech_All[[#This Row],[Q_No]]=TBL_ADD_04_Qs_All[Q.])*("Question"=TBL_ADD_04_Qs_All[Type])*("Tech"=TBL_ADD_04_Qs_All[Section]),0))="Not used", TBL_Q_10_Tech_All[[#This Row],[Question]]="Not used
"), "Shade", ""))</f>
        <v>Shade</v>
      </c>
    </row>
    <row r="111" spans="1:8" s="100" customFormat="1" ht="25">
      <c r="A111" s="479" t="str">
        <f>IF(TBL_Q_10_Tech_All[[#This Row],[Sub_No]]="N/A", TBL_Q_10_Tech_All[[#This Row],[Q_No]], CONCATENATE(TBL_Q_10_Tech_All[[#This Row],[Q_No]], TBL_Q_10_Tech_All[[#This Row],[Sub_No]]))</f>
        <v>Q4.9.3</v>
      </c>
      <c r="B111" s="120" t="str">
        <f t="array" ref="B11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1" s="480"/>
      <c r="D111" s="486" t="str">
        <f>IF(TBL_Q_10_Tech_All[[#This Row],[Shade?]]="Shade", "", IF(TBL_Q_10_Tech_All[[#This Row],[Type]]="Question", IF(TBL_Q_10_Tech_All[[#This Row],[Response]]&lt;&gt;"", "Done", "Add"), ""))</f>
        <v/>
      </c>
      <c r="E111" s="487" t="s">
        <v>332</v>
      </c>
      <c r="F111" s="474" t="s">
        <v>1321</v>
      </c>
      <c r="G111" s="475" t="s">
        <v>569</v>
      </c>
      <c r="H111" s="476" t="str" cm="1">
        <f t="array" ref="H111">IF($G$4="No", "Shade", IF(OR(INDEX(TBL_ADD_04_Qs_All[Question / Sub-question], MATCH(1, (TBL_Q_10_Tech_All[[#This Row],[Q_No]]=TBL_ADD_04_Qs_All[Q.])*("Question"=TBL_ADD_04_Qs_All[Type])*("Tech"=TBL_ADD_04_Qs_All[Section]),0))="Not used", TBL_Q_10_Tech_All[[#This Row],[Question]]="Not used
"), "Shade", ""))</f>
        <v>Shade</v>
      </c>
    </row>
    <row r="112" spans="1:8" s="100" customFormat="1" ht="25">
      <c r="A112" s="479" t="str">
        <f>IF(TBL_Q_10_Tech_All[[#This Row],[Sub_No]]="N/A", TBL_Q_10_Tech_All[[#This Row],[Q_No]], CONCATENATE(TBL_Q_10_Tech_All[[#This Row],[Q_No]], TBL_Q_10_Tech_All[[#This Row],[Sub_No]]))</f>
        <v>Q4.9.4</v>
      </c>
      <c r="B112" s="120" t="str">
        <f t="array" ref="B11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2" s="480"/>
      <c r="D112" s="486" t="str">
        <f>IF(TBL_Q_10_Tech_All[[#This Row],[Shade?]]="Shade", "", IF(TBL_Q_10_Tech_All[[#This Row],[Type]]="Question", IF(TBL_Q_10_Tech_All[[#This Row],[Response]]&lt;&gt;"", "Done", "Add"), ""))</f>
        <v/>
      </c>
      <c r="E112" s="487" t="s">
        <v>332</v>
      </c>
      <c r="F112" s="474" t="s">
        <v>1321</v>
      </c>
      <c r="G112" s="475" t="s">
        <v>570</v>
      </c>
      <c r="H112" s="476" t="str" cm="1">
        <f t="array" ref="H112">IF($G$4="No", "Shade", IF(OR(INDEX(TBL_ADD_04_Qs_All[Question / Sub-question], MATCH(1, (TBL_Q_10_Tech_All[[#This Row],[Q_No]]=TBL_ADD_04_Qs_All[Q.])*("Question"=TBL_ADD_04_Qs_All[Type])*("Tech"=TBL_ADD_04_Qs_All[Section]),0))="Not used", TBL_Q_10_Tech_All[[#This Row],[Question]]="Not used
"), "Shade", ""))</f>
        <v>Shade</v>
      </c>
    </row>
    <row r="113" spans="1:8" s="100" customFormat="1" ht="25">
      <c r="A113" s="479" t="str">
        <f>IF(TBL_Q_10_Tech_All[[#This Row],[Sub_No]]="N/A", TBL_Q_10_Tech_All[[#This Row],[Q_No]], CONCATENATE(TBL_Q_10_Tech_All[[#This Row],[Q_No]], TBL_Q_10_Tech_All[[#This Row],[Sub_No]]))</f>
        <v>Q4.9.5</v>
      </c>
      <c r="B113" s="120" t="str">
        <f t="array" ref="B11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3" s="480"/>
      <c r="D113" s="486" t="str">
        <f>IF(TBL_Q_10_Tech_All[[#This Row],[Shade?]]="Shade", "", IF(TBL_Q_10_Tech_All[[#This Row],[Type]]="Question", IF(TBL_Q_10_Tech_All[[#This Row],[Response]]&lt;&gt;"", "Done", "Add"), ""))</f>
        <v/>
      </c>
      <c r="E113" s="487" t="s">
        <v>332</v>
      </c>
      <c r="F113" s="474" t="s">
        <v>1321</v>
      </c>
      <c r="G113" s="475" t="s">
        <v>571</v>
      </c>
      <c r="H113" s="476" t="str" cm="1">
        <f t="array" ref="H113">IF($G$4="No", "Shade", IF(OR(INDEX(TBL_ADD_04_Qs_All[Question / Sub-question], MATCH(1, (TBL_Q_10_Tech_All[[#This Row],[Q_No]]=TBL_ADD_04_Qs_All[Q.])*("Question"=TBL_ADD_04_Qs_All[Type])*("Tech"=TBL_ADD_04_Qs_All[Section]),0))="Not used", TBL_Q_10_Tech_All[[#This Row],[Question]]="Not used
"), "Shade", ""))</f>
        <v>Shade</v>
      </c>
    </row>
    <row r="114" spans="1:8" s="100" customFormat="1" ht="25">
      <c r="A114" s="479" t="str">
        <f>IF(TBL_Q_10_Tech_All[[#This Row],[Sub_No]]="N/A", TBL_Q_10_Tech_All[[#This Row],[Q_No]], CONCATENATE(TBL_Q_10_Tech_All[[#This Row],[Q_No]], TBL_Q_10_Tech_All[[#This Row],[Sub_No]]))</f>
        <v>Q4.9.6</v>
      </c>
      <c r="B114" s="120" t="str">
        <f t="array" ref="B11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4" s="480"/>
      <c r="D114" s="486" t="str">
        <f>IF(TBL_Q_10_Tech_All[[#This Row],[Shade?]]="Shade", "", IF(TBL_Q_10_Tech_All[[#This Row],[Type]]="Question", IF(TBL_Q_10_Tech_All[[#This Row],[Response]]&lt;&gt;"", "Done", "Add"), ""))</f>
        <v/>
      </c>
      <c r="E114" s="487" t="s">
        <v>332</v>
      </c>
      <c r="F114" s="474" t="s">
        <v>1321</v>
      </c>
      <c r="G114" s="475" t="s">
        <v>573</v>
      </c>
      <c r="H114" s="476" t="str" cm="1">
        <f t="array" ref="H114">IF($G$4="No", "Shade", IF(OR(INDEX(TBL_ADD_04_Qs_All[Question / Sub-question], MATCH(1, (TBL_Q_10_Tech_All[[#This Row],[Q_No]]=TBL_ADD_04_Qs_All[Q.])*("Question"=TBL_ADD_04_Qs_All[Type])*("Tech"=TBL_ADD_04_Qs_All[Section]),0))="Not used", TBL_Q_10_Tech_All[[#This Row],[Question]]="Not used
"), "Shade", ""))</f>
        <v>Shade</v>
      </c>
    </row>
    <row r="115" spans="1:8" s="100" customFormat="1" ht="25">
      <c r="A115" s="479" t="str">
        <f>IF(TBL_Q_10_Tech_All[[#This Row],[Sub_No]]="N/A", TBL_Q_10_Tech_All[[#This Row],[Q_No]], CONCATENATE(TBL_Q_10_Tech_All[[#This Row],[Q_No]], TBL_Q_10_Tech_All[[#This Row],[Sub_No]]))</f>
        <v>Q4.9.7</v>
      </c>
      <c r="B115" s="120" t="str">
        <f t="array" ref="B11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5" s="480"/>
      <c r="D115" s="486" t="str">
        <f>IF(TBL_Q_10_Tech_All[[#This Row],[Shade?]]="Shade", "", IF(TBL_Q_10_Tech_All[[#This Row],[Type]]="Question", IF(TBL_Q_10_Tech_All[[#This Row],[Response]]&lt;&gt;"", "Done", "Add"), ""))</f>
        <v/>
      </c>
      <c r="E115" s="487" t="s">
        <v>332</v>
      </c>
      <c r="F115" s="474" t="s">
        <v>1321</v>
      </c>
      <c r="G115" s="475" t="s">
        <v>574</v>
      </c>
      <c r="H115" s="476" t="str" cm="1">
        <f t="array" ref="H115">IF($G$4="No", "Shade", IF(OR(INDEX(TBL_ADD_04_Qs_All[Question / Sub-question], MATCH(1, (TBL_Q_10_Tech_All[[#This Row],[Q_No]]=TBL_ADD_04_Qs_All[Q.])*("Question"=TBL_ADD_04_Qs_All[Type])*("Tech"=TBL_ADD_04_Qs_All[Section]),0))="Not used", TBL_Q_10_Tech_All[[#This Row],[Question]]="Not used
"), "Shade", ""))</f>
        <v>Shade</v>
      </c>
    </row>
    <row r="116" spans="1:8" s="100" customFormat="1" ht="25">
      <c r="A116" s="479" t="str">
        <f>IF(TBL_Q_10_Tech_All[[#This Row],[Sub_No]]="N/A", TBL_Q_10_Tech_All[[#This Row],[Q_No]], CONCATENATE(TBL_Q_10_Tech_All[[#This Row],[Q_No]], TBL_Q_10_Tech_All[[#This Row],[Sub_No]]))</f>
        <v>Q4.9.8</v>
      </c>
      <c r="B116" s="120" t="str">
        <f t="array" ref="B11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6" s="480"/>
      <c r="D116" s="486" t="str">
        <f>IF(TBL_Q_10_Tech_All[[#This Row],[Shade?]]="Shade", "", IF(TBL_Q_10_Tech_All[[#This Row],[Type]]="Question", IF(TBL_Q_10_Tech_All[[#This Row],[Response]]&lt;&gt;"", "Done", "Add"), ""))</f>
        <v/>
      </c>
      <c r="E116" s="487" t="s">
        <v>332</v>
      </c>
      <c r="F116" s="474" t="s">
        <v>1321</v>
      </c>
      <c r="G116" s="475" t="s">
        <v>575</v>
      </c>
      <c r="H116" s="476" t="str" cm="1">
        <f t="array" ref="H116">IF($G$4="No", "Shade", IF(OR(INDEX(TBL_ADD_04_Qs_All[Question / Sub-question], MATCH(1, (TBL_Q_10_Tech_All[[#This Row],[Q_No]]=TBL_ADD_04_Qs_All[Q.])*("Question"=TBL_ADD_04_Qs_All[Type])*("Tech"=TBL_ADD_04_Qs_All[Section]),0))="Not used", TBL_Q_10_Tech_All[[#This Row],[Question]]="Not used
"), "Shade", ""))</f>
        <v>Shade</v>
      </c>
    </row>
    <row r="117" spans="1:8" s="100" customFormat="1" ht="25">
      <c r="A117" s="479" t="str">
        <f>IF(TBL_Q_10_Tech_All[[#This Row],[Sub_No]]="N/A", TBL_Q_10_Tech_All[[#This Row],[Q_No]], CONCATENATE(TBL_Q_10_Tech_All[[#This Row],[Q_No]], TBL_Q_10_Tech_All[[#This Row],[Sub_No]]))</f>
        <v>Q4.9.9</v>
      </c>
      <c r="B117" s="120" t="str">
        <f t="array" ref="B11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7" s="480"/>
      <c r="D117" s="486" t="str">
        <f>IF(TBL_Q_10_Tech_All[[#This Row],[Shade?]]="Shade", "", IF(TBL_Q_10_Tech_All[[#This Row],[Type]]="Question", IF(TBL_Q_10_Tech_All[[#This Row],[Response]]&lt;&gt;"", "Done", "Add"), ""))</f>
        <v/>
      </c>
      <c r="E117" s="487" t="s">
        <v>332</v>
      </c>
      <c r="F117" s="474" t="s">
        <v>1321</v>
      </c>
      <c r="G117" s="475" t="s">
        <v>576</v>
      </c>
      <c r="H117" s="476" t="str" cm="1">
        <f t="array" ref="H117">IF($G$4="No", "Shade", IF(OR(INDEX(TBL_ADD_04_Qs_All[Question / Sub-question], MATCH(1, (TBL_Q_10_Tech_All[[#This Row],[Q_No]]=TBL_ADD_04_Qs_All[Q.])*("Question"=TBL_ADD_04_Qs_All[Type])*("Tech"=TBL_ADD_04_Qs_All[Section]),0))="Not used", TBL_Q_10_Tech_All[[#This Row],[Question]]="Not used
"), "Shade", ""))</f>
        <v>Shade</v>
      </c>
    </row>
    <row r="118" spans="1:8" s="100" customFormat="1" ht="25">
      <c r="A118" s="481" t="str">
        <f>IF(TBL_Q_10_Tech_All[[#This Row],[Sub_No]]="N/A", TBL_Q_10_Tech_All[[#This Row],[Q_No]], CONCATENATE(TBL_Q_10_Tech_All[[#This Row],[Q_No]], TBL_Q_10_Tech_All[[#This Row],[Sub_No]]))</f>
        <v>Q4.9.10</v>
      </c>
      <c r="B118" s="482" t="str">
        <f t="array" ref="B11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8" s="483"/>
      <c r="D118" s="486" t="str">
        <f>IF(TBL_Q_10_Tech_All[[#This Row],[Shade?]]="Shade", "", IF(TBL_Q_10_Tech_All[[#This Row],[Type]]="Question", IF(TBL_Q_10_Tech_All[[#This Row],[Response]]&lt;&gt;"", "Done", "Add"), ""))</f>
        <v/>
      </c>
      <c r="E118" s="487" t="s">
        <v>332</v>
      </c>
      <c r="F118" s="474" t="s">
        <v>1321</v>
      </c>
      <c r="G118" s="475" t="s">
        <v>577</v>
      </c>
      <c r="H118" s="476" t="str" cm="1">
        <f t="array" ref="H118">IF($G$4="No", "Shade", IF(OR(INDEX(TBL_ADD_04_Qs_All[Question / Sub-question], MATCH(1, (TBL_Q_10_Tech_All[[#This Row],[Q_No]]=TBL_ADD_04_Qs_All[Q.])*("Question"=TBL_ADD_04_Qs_All[Type])*("Tech"=TBL_ADD_04_Qs_All[Section]),0))="Not used", TBL_Q_10_Tech_All[[#This Row],[Question]]="Not used
"), "Shade", ""))</f>
        <v>Shade</v>
      </c>
    </row>
    <row r="119" spans="1:8" s="100" customFormat="1" ht="26">
      <c r="A119" s="71" t="str">
        <f>IF(TBL_Q_10_Tech_All[[#This Row],[Sub_No]]="N/A", TBL_Q_10_Tech_All[[#This Row],[Q_No]], CONCATENATE(TBL_Q_10_Tech_All[[#This Row],[Q_No]], TBL_Q_10_Tech_All[[#This Row],[Sub_No]]))</f>
        <v>Q4.10</v>
      </c>
      <c r="B119" s="73" t="str">
        <f t="array" ref="B11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19" s="473"/>
      <c r="D119" s="486" t="str">
        <f>IF(TBL_Q_10_Tech_All[[#This Row],[Shade?]]="Shade", "", IF(TBL_Q_10_Tech_All[[#This Row],[Type]]="Question", IF(TBL_Q_10_Tech_All[[#This Row],[Response]]&lt;&gt;"", "Done", "Add"), ""))</f>
        <v/>
      </c>
      <c r="E119" s="487" t="s">
        <v>146</v>
      </c>
      <c r="F119" s="474" t="s">
        <v>1322</v>
      </c>
      <c r="G119" s="475" t="s">
        <v>24</v>
      </c>
      <c r="H119" s="476" t="str" cm="1">
        <f t="array" ref="H119">IF($G$4="No", "Shade", IF(OR(INDEX(TBL_ADD_04_Qs_All[Question / Sub-question], MATCH(1, (TBL_Q_10_Tech_All[[#This Row],[Q_No]]=TBL_ADD_04_Qs_All[Q.])*("Question"=TBL_ADD_04_Qs_All[Type])*("Tech"=TBL_ADD_04_Qs_All[Section]),0))="Not used", TBL_Q_10_Tech_All[[#This Row],[Question]]="Not used
"), "Shade", ""))</f>
        <v>Shade</v>
      </c>
    </row>
    <row r="120" spans="1:8" s="100" customFormat="1" ht="26">
      <c r="A120" s="477" t="str">
        <f>IF(TBL_Q_10_Tech_All[[#This Row],[Sub_No]]="N/A", TBL_Q_10_Tech_All[[#This Row],[Q_No]], CONCATENATE(TBL_Q_10_Tech_All[[#This Row],[Q_No]], TBL_Q_10_Tech_All[[#This Row],[Sub_No]]))</f>
        <v>Q4.10</v>
      </c>
      <c r="B120" s="120" t="str">
        <f t="array" ref="B12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0" s="478"/>
      <c r="D120" s="486" t="str">
        <f>IF(TBL_Q_10_Tech_All[[#This Row],[Shade?]]="Shade", "", IF(TBL_Q_10_Tech_All[[#This Row],[Type]]="Question", IF(TBL_Q_10_Tech_All[[#This Row],[Response]]&lt;&gt;"", "Done", "Add"), ""))</f>
        <v/>
      </c>
      <c r="E120" s="487" t="s">
        <v>348</v>
      </c>
      <c r="F120" s="474" t="s">
        <v>1322</v>
      </c>
      <c r="G120" s="475" t="s">
        <v>24</v>
      </c>
      <c r="H120" s="476" t="str" cm="1">
        <f t="array" ref="H120">IF($G$4="No", "Shade", IF(OR(INDEX(TBL_ADD_04_Qs_All[Question / Sub-question], MATCH(1, (TBL_Q_10_Tech_All[[#This Row],[Q_No]]=TBL_ADD_04_Qs_All[Q.])*("Question"=TBL_ADD_04_Qs_All[Type])*("Tech"=TBL_ADD_04_Qs_All[Section]),0))="Not used", TBL_Q_10_Tech_All[[#This Row],[Question]]="Not used
"), "Shade", ""))</f>
        <v>Shade</v>
      </c>
    </row>
    <row r="121" spans="1:8" s="100" customFormat="1" ht="25">
      <c r="A121" s="479" t="str">
        <f>IF(TBL_Q_10_Tech_All[[#This Row],[Sub_No]]="N/A", TBL_Q_10_Tech_All[[#This Row],[Q_No]], CONCATENATE(TBL_Q_10_Tech_All[[#This Row],[Q_No]], TBL_Q_10_Tech_All[[#This Row],[Sub_No]]))</f>
        <v>Q4.10.1</v>
      </c>
      <c r="B121" s="120" t="str">
        <f t="array" ref="B121">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1" s="480"/>
      <c r="D121" s="486" t="str">
        <f>IF(TBL_Q_10_Tech_All[[#This Row],[Shade?]]="Shade", "", IF(TBL_Q_10_Tech_All[[#This Row],[Type]]="Question", IF(TBL_Q_10_Tech_All[[#This Row],[Response]]&lt;&gt;"", "Done", "Add"), ""))</f>
        <v/>
      </c>
      <c r="E121" s="487" t="s">
        <v>332</v>
      </c>
      <c r="F121" s="474" t="s">
        <v>1322</v>
      </c>
      <c r="G121" s="475" t="s">
        <v>568</v>
      </c>
      <c r="H121" s="476" t="str" cm="1">
        <f t="array" ref="H121">IF($G$4="No", "Shade", IF(OR(INDEX(TBL_ADD_04_Qs_All[Question / Sub-question], MATCH(1, (TBL_Q_10_Tech_All[[#This Row],[Q_No]]=TBL_ADD_04_Qs_All[Q.])*("Question"=TBL_ADD_04_Qs_All[Type])*("Tech"=TBL_ADD_04_Qs_All[Section]),0))="Not used", TBL_Q_10_Tech_All[[#This Row],[Question]]="Not used
"), "Shade", ""))</f>
        <v>Shade</v>
      </c>
    </row>
    <row r="122" spans="1:8" s="100" customFormat="1" ht="25">
      <c r="A122" s="479" t="str">
        <f>IF(TBL_Q_10_Tech_All[[#This Row],[Sub_No]]="N/A", TBL_Q_10_Tech_All[[#This Row],[Q_No]], CONCATENATE(TBL_Q_10_Tech_All[[#This Row],[Q_No]], TBL_Q_10_Tech_All[[#This Row],[Sub_No]]))</f>
        <v>Q4.10.2</v>
      </c>
      <c r="B122" s="120" t="str">
        <f t="array" ref="B122">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2" s="480"/>
      <c r="D122" s="486" t="str">
        <f>IF(TBL_Q_10_Tech_All[[#This Row],[Shade?]]="Shade", "", IF(TBL_Q_10_Tech_All[[#This Row],[Type]]="Question", IF(TBL_Q_10_Tech_All[[#This Row],[Response]]&lt;&gt;"", "Done", "Add"), ""))</f>
        <v/>
      </c>
      <c r="E122" s="487" t="s">
        <v>332</v>
      </c>
      <c r="F122" s="474" t="s">
        <v>1322</v>
      </c>
      <c r="G122" s="475" t="s">
        <v>572</v>
      </c>
      <c r="H122" s="476" t="str" cm="1">
        <f t="array" ref="H122">IF($G$4="No", "Shade", IF(OR(INDEX(TBL_ADD_04_Qs_All[Question / Sub-question], MATCH(1, (TBL_Q_10_Tech_All[[#This Row],[Q_No]]=TBL_ADD_04_Qs_All[Q.])*("Question"=TBL_ADD_04_Qs_All[Type])*("Tech"=TBL_ADD_04_Qs_All[Section]),0))="Not used", TBL_Q_10_Tech_All[[#This Row],[Question]]="Not used
"), "Shade", ""))</f>
        <v>Shade</v>
      </c>
    </row>
    <row r="123" spans="1:8" s="100" customFormat="1" ht="25">
      <c r="A123" s="479" t="str">
        <f>IF(TBL_Q_10_Tech_All[[#This Row],[Sub_No]]="N/A", TBL_Q_10_Tech_All[[#This Row],[Q_No]], CONCATENATE(TBL_Q_10_Tech_All[[#This Row],[Q_No]], TBL_Q_10_Tech_All[[#This Row],[Sub_No]]))</f>
        <v>Q4.10.3</v>
      </c>
      <c r="B123" s="120" t="str">
        <f t="array" ref="B123">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3" s="480"/>
      <c r="D123" s="486" t="str">
        <f>IF(TBL_Q_10_Tech_All[[#This Row],[Shade?]]="Shade", "", IF(TBL_Q_10_Tech_All[[#This Row],[Type]]="Question", IF(TBL_Q_10_Tech_All[[#This Row],[Response]]&lt;&gt;"", "Done", "Add"), ""))</f>
        <v/>
      </c>
      <c r="E123" s="487" t="s">
        <v>332</v>
      </c>
      <c r="F123" s="474" t="s">
        <v>1322</v>
      </c>
      <c r="G123" s="475" t="s">
        <v>569</v>
      </c>
      <c r="H123" s="476" t="str" cm="1">
        <f t="array" ref="H123">IF($G$4="No", "Shade", IF(OR(INDEX(TBL_ADD_04_Qs_All[Question / Sub-question], MATCH(1, (TBL_Q_10_Tech_All[[#This Row],[Q_No]]=TBL_ADD_04_Qs_All[Q.])*("Question"=TBL_ADD_04_Qs_All[Type])*("Tech"=TBL_ADD_04_Qs_All[Section]),0))="Not used", TBL_Q_10_Tech_All[[#This Row],[Question]]="Not used
"), "Shade", ""))</f>
        <v>Shade</v>
      </c>
    </row>
    <row r="124" spans="1:8" s="100" customFormat="1" ht="25">
      <c r="A124" s="479" t="str">
        <f>IF(TBL_Q_10_Tech_All[[#This Row],[Sub_No]]="N/A", TBL_Q_10_Tech_All[[#This Row],[Q_No]], CONCATENATE(TBL_Q_10_Tech_All[[#This Row],[Q_No]], TBL_Q_10_Tech_All[[#This Row],[Sub_No]]))</f>
        <v>Q4.10.4</v>
      </c>
      <c r="B124" s="120" t="str">
        <f t="array" ref="B124">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4" s="480"/>
      <c r="D124" s="486" t="str">
        <f>IF(TBL_Q_10_Tech_All[[#This Row],[Shade?]]="Shade", "", IF(TBL_Q_10_Tech_All[[#This Row],[Type]]="Question", IF(TBL_Q_10_Tech_All[[#This Row],[Response]]&lt;&gt;"", "Done", "Add"), ""))</f>
        <v/>
      </c>
      <c r="E124" s="487" t="s">
        <v>332</v>
      </c>
      <c r="F124" s="474" t="s">
        <v>1322</v>
      </c>
      <c r="G124" s="475" t="s">
        <v>570</v>
      </c>
      <c r="H124" s="476" t="str" cm="1">
        <f t="array" ref="H124">IF($G$4="No", "Shade", IF(OR(INDEX(TBL_ADD_04_Qs_All[Question / Sub-question], MATCH(1, (TBL_Q_10_Tech_All[[#This Row],[Q_No]]=TBL_ADD_04_Qs_All[Q.])*("Question"=TBL_ADD_04_Qs_All[Type])*("Tech"=TBL_ADD_04_Qs_All[Section]),0))="Not used", TBL_Q_10_Tech_All[[#This Row],[Question]]="Not used
"), "Shade", ""))</f>
        <v>Shade</v>
      </c>
    </row>
    <row r="125" spans="1:8" s="100" customFormat="1" ht="25">
      <c r="A125" s="479" t="str">
        <f>IF(TBL_Q_10_Tech_All[[#This Row],[Sub_No]]="N/A", TBL_Q_10_Tech_All[[#This Row],[Q_No]], CONCATENATE(TBL_Q_10_Tech_All[[#This Row],[Q_No]], TBL_Q_10_Tech_All[[#This Row],[Sub_No]]))</f>
        <v>Q4.10.5</v>
      </c>
      <c r="B125" s="120" t="str">
        <f t="array" ref="B125">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5" s="480"/>
      <c r="D125" s="486" t="str">
        <f>IF(TBL_Q_10_Tech_All[[#This Row],[Shade?]]="Shade", "", IF(TBL_Q_10_Tech_All[[#This Row],[Type]]="Question", IF(TBL_Q_10_Tech_All[[#This Row],[Response]]&lt;&gt;"", "Done", "Add"), ""))</f>
        <v/>
      </c>
      <c r="E125" s="487" t="s">
        <v>332</v>
      </c>
      <c r="F125" s="474" t="s">
        <v>1322</v>
      </c>
      <c r="G125" s="475" t="s">
        <v>571</v>
      </c>
      <c r="H125" s="476" t="str" cm="1">
        <f t="array" ref="H125">IF($G$4="No", "Shade", IF(OR(INDEX(TBL_ADD_04_Qs_All[Question / Sub-question], MATCH(1, (TBL_Q_10_Tech_All[[#This Row],[Q_No]]=TBL_ADD_04_Qs_All[Q.])*("Question"=TBL_ADD_04_Qs_All[Type])*("Tech"=TBL_ADD_04_Qs_All[Section]),0))="Not used", TBL_Q_10_Tech_All[[#This Row],[Question]]="Not used
"), "Shade", ""))</f>
        <v>Shade</v>
      </c>
    </row>
    <row r="126" spans="1:8" s="100" customFormat="1" ht="25">
      <c r="A126" s="479" t="str">
        <f>IF(TBL_Q_10_Tech_All[[#This Row],[Sub_No]]="N/A", TBL_Q_10_Tech_All[[#This Row],[Q_No]], CONCATENATE(TBL_Q_10_Tech_All[[#This Row],[Q_No]], TBL_Q_10_Tech_All[[#This Row],[Sub_No]]))</f>
        <v>Q4.10.6</v>
      </c>
      <c r="B126" s="120" t="str">
        <f t="array" ref="B126">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6" s="480"/>
      <c r="D126" s="486" t="str">
        <f>IF(TBL_Q_10_Tech_All[[#This Row],[Shade?]]="Shade", "", IF(TBL_Q_10_Tech_All[[#This Row],[Type]]="Question", IF(TBL_Q_10_Tech_All[[#This Row],[Response]]&lt;&gt;"", "Done", "Add"), ""))</f>
        <v/>
      </c>
      <c r="E126" s="487" t="s">
        <v>332</v>
      </c>
      <c r="F126" s="474" t="s">
        <v>1322</v>
      </c>
      <c r="G126" s="475" t="s">
        <v>573</v>
      </c>
      <c r="H126" s="476" t="str" cm="1">
        <f t="array" ref="H126">IF($G$4="No", "Shade", IF(OR(INDEX(TBL_ADD_04_Qs_All[Question / Sub-question], MATCH(1, (TBL_Q_10_Tech_All[[#This Row],[Q_No]]=TBL_ADD_04_Qs_All[Q.])*("Question"=TBL_ADD_04_Qs_All[Type])*("Tech"=TBL_ADD_04_Qs_All[Section]),0))="Not used", TBL_Q_10_Tech_All[[#This Row],[Question]]="Not used
"), "Shade", ""))</f>
        <v>Shade</v>
      </c>
    </row>
    <row r="127" spans="1:8" s="100" customFormat="1" ht="25">
      <c r="A127" s="479" t="str">
        <f>IF(TBL_Q_10_Tech_All[[#This Row],[Sub_No]]="N/A", TBL_Q_10_Tech_All[[#This Row],[Q_No]], CONCATENATE(TBL_Q_10_Tech_All[[#This Row],[Q_No]], TBL_Q_10_Tech_All[[#This Row],[Sub_No]]))</f>
        <v>Q4.10.7</v>
      </c>
      <c r="B127" s="120" t="str">
        <f t="array" ref="B127">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7" s="480"/>
      <c r="D127" s="486" t="str">
        <f>IF(TBL_Q_10_Tech_All[[#This Row],[Shade?]]="Shade", "", IF(TBL_Q_10_Tech_All[[#This Row],[Type]]="Question", IF(TBL_Q_10_Tech_All[[#This Row],[Response]]&lt;&gt;"", "Done", "Add"), ""))</f>
        <v/>
      </c>
      <c r="E127" s="487" t="s">
        <v>332</v>
      </c>
      <c r="F127" s="474" t="s">
        <v>1322</v>
      </c>
      <c r="G127" s="475" t="s">
        <v>574</v>
      </c>
      <c r="H127" s="476" t="str" cm="1">
        <f t="array" ref="H127">IF($G$4="No", "Shade", IF(OR(INDEX(TBL_ADD_04_Qs_All[Question / Sub-question], MATCH(1, (TBL_Q_10_Tech_All[[#This Row],[Q_No]]=TBL_ADD_04_Qs_All[Q.])*("Question"=TBL_ADD_04_Qs_All[Type])*("Tech"=TBL_ADD_04_Qs_All[Section]),0))="Not used", TBL_Q_10_Tech_All[[#This Row],[Question]]="Not used
"), "Shade", ""))</f>
        <v>Shade</v>
      </c>
    </row>
    <row r="128" spans="1:8" s="100" customFormat="1" ht="25">
      <c r="A128" s="479" t="str">
        <f>IF(TBL_Q_10_Tech_All[[#This Row],[Sub_No]]="N/A", TBL_Q_10_Tech_All[[#This Row],[Q_No]], CONCATENATE(TBL_Q_10_Tech_All[[#This Row],[Q_No]], TBL_Q_10_Tech_All[[#This Row],[Sub_No]]))</f>
        <v>Q4.10.8</v>
      </c>
      <c r="B128" s="120" t="str">
        <f t="array" ref="B128">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8" s="480"/>
      <c r="D128" s="486" t="str">
        <f>IF(TBL_Q_10_Tech_All[[#This Row],[Shade?]]="Shade", "", IF(TBL_Q_10_Tech_All[[#This Row],[Type]]="Question", IF(TBL_Q_10_Tech_All[[#This Row],[Response]]&lt;&gt;"", "Done", "Add"), ""))</f>
        <v/>
      </c>
      <c r="E128" s="487" t="s">
        <v>332</v>
      </c>
      <c r="F128" s="474" t="s">
        <v>1322</v>
      </c>
      <c r="G128" s="475" t="s">
        <v>575</v>
      </c>
      <c r="H128" s="476" t="str" cm="1">
        <f t="array" ref="H128">IF($G$4="No", "Shade", IF(OR(INDEX(TBL_ADD_04_Qs_All[Question / Sub-question], MATCH(1, (TBL_Q_10_Tech_All[[#This Row],[Q_No]]=TBL_ADD_04_Qs_All[Q.])*("Question"=TBL_ADD_04_Qs_All[Type])*("Tech"=TBL_ADD_04_Qs_All[Section]),0))="Not used", TBL_Q_10_Tech_All[[#This Row],[Question]]="Not used
"), "Shade", ""))</f>
        <v>Shade</v>
      </c>
    </row>
    <row r="129" spans="1:14" s="100" customFormat="1" ht="25">
      <c r="A129" s="479" t="str">
        <f>IF(TBL_Q_10_Tech_All[[#This Row],[Sub_No]]="N/A", TBL_Q_10_Tech_All[[#This Row],[Q_No]], CONCATENATE(TBL_Q_10_Tech_All[[#This Row],[Q_No]], TBL_Q_10_Tech_All[[#This Row],[Sub_No]]))</f>
        <v>Q4.10.9</v>
      </c>
      <c r="B129" s="120" t="str">
        <f t="array" ref="B129">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29" s="480"/>
      <c r="D129" s="486" t="str">
        <f>IF(TBL_Q_10_Tech_All[[#This Row],[Shade?]]="Shade", "", IF(TBL_Q_10_Tech_All[[#This Row],[Type]]="Question", IF(TBL_Q_10_Tech_All[[#This Row],[Response]]&lt;&gt;"", "Done", "Add"), ""))</f>
        <v/>
      </c>
      <c r="E129" s="487" t="s">
        <v>332</v>
      </c>
      <c r="F129" s="474" t="s">
        <v>1322</v>
      </c>
      <c r="G129" s="475" t="s">
        <v>576</v>
      </c>
      <c r="H129" s="476" t="str" cm="1">
        <f t="array" ref="H129">IF($G$4="No", "Shade", IF(OR(INDEX(TBL_ADD_04_Qs_All[Question / Sub-question], MATCH(1, (TBL_Q_10_Tech_All[[#This Row],[Q_No]]=TBL_ADD_04_Qs_All[Q.])*("Question"=TBL_ADD_04_Qs_All[Type])*("Tech"=TBL_ADD_04_Qs_All[Section]),0))="Not used", TBL_Q_10_Tech_All[[#This Row],[Question]]="Not used
"), "Shade", ""))</f>
        <v>Shade</v>
      </c>
    </row>
    <row r="130" spans="1:14" s="100" customFormat="1" ht="25">
      <c r="A130" s="479" t="str">
        <f>IF(TBL_Q_10_Tech_All[[#This Row],[Sub_No]]="N/A", TBL_Q_10_Tech_All[[#This Row],[Q_No]], CONCATENATE(TBL_Q_10_Tech_All[[#This Row],[Q_No]], TBL_Q_10_Tech_All[[#This Row],[Sub_No]]))</f>
        <v>Q4.10.10</v>
      </c>
      <c r="B130" s="120" t="str">
        <f t="array" ref="B130">IF(OR(TBL_Q_10_Tech_All[[#This Row],[Type]]="Question", TBL_Q_10_Tech_All[[#This Row],[Type]]="Sub-question"), CONCATENATE(INDEX(TBL_ADD_04_Qs_All[Question / Sub-question], MATCH(1, (TBL_Q_10_Tech_All[[#This Row],[Q. No.]]=TBL_ADD_04_Qs_All[Q.])*(TBL_Q_10_Tech_All[[#This Row],[Type]]=TBL_ADD_04_Qs_All[Type])*("Tech"=TBL_ADD_04_Qs_All[Section]),0)), "
"), IF(INDEX(TBL_ADD_04_Qs_All[Question / Sub-question], MATCH(1, (TBL_Q_10_Tech_All[[#This Row],[Q_No]]=TBL_ADD_04_Qs_All[Q.])*("Question"=TBL_ADD_04_Qs_All[Type])*("Tech"=TBL_ADD_04_Qs_All[Section]),0))="Not used", "Not used
", CONCATENATE(INDEX(TBL_ADD_04_Qs_All[Maximum marks available], MATCH(1, (TBL_Q_10_Tech_All[[#This Row],[Q. No.]]=TBL_ADD_04_Qs_All[Q.])*("Question"=TBL_ADD_04_Qs_All[Type])*("Tech"=TBL_ADD_04_Qs_All[Section]),0)), ".  ", INDEX(TBL_ADD_04_Qs_All[Q_Limit], MATCH(1, (TBL_Q_10_Tech_All[[#This Row],[Q. No.]]=TBL_ADD_04_Qs_All[Q.])*("Question"=TBL_ADD_04_Qs_All[Type])*("Tech"=TBL_ADD_04_Qs_All[Section]),0)), "
")))</f>
        <v xml:space="preserve">Not used
</v>
      </c>
      <c r="C130" s="480"/>
      <c r="D130" s="488" t="str">
        <f>IF(TBL_Q_10_Tech_All[[#This Row],[Shade?]]="Shade", "", IF(TBL_Q_10_Tech_All[[#This Row],[Type]]="Question", IF(TBL_Q_10_Tech_All[[#This Row],[Response]]&lt;&gt;"", "Done", "Add"), ""))</f>
        <v/>
      </c>
      <c r="E130" s="489" t="s">
        <v>332</v>
      </c>
      <c r="F130" s="484" t="s">
        <v>1322</v>
      </c>
      <c r="G130" s="485" t="s">
        <v>577</v>
      </c>
      <c r="H130" s="476" t="str" cm="1">
        <f t="array" ref="H130">IF($G$4="No", "Shade", IF(OR(INDEX(TBL_ADD_04_Qs_All[Question / Sub-question], MATCH(1, (TBL_Q_10_Tech_All[[#This Row],[Q_No]]=TBL_ADD_04_Qs_All[Q.])*("Question"=TBL_ADD_04_Qs_All[Type])*("Tech"=TBL_ADD_04_Qs_All[Section]),0))="Not used", TBL_Q_10_Tech_All[[#This Row],[Question]]="Not used
"), "Shade", ""))</f>
        <v>Shade</v>
      </c>
    </row>
    <row r="131" spans="1:14" s="100" customFormat="1" ht="13">
      <c r="A131" s="337"/>
      <c r="B131" s="338"/>
      <c r="C131" s="339"/>
      <c r="D131" s="472"/>
      <c r="E131" s="472"/>
      <c r="F131" s="340"/>
      <c r="G131" s="340"/>
      <c r="H131" s="341"/>
      <c r="I131" s="340"/>
      <c r="J131" s="340"/>
      <c r="K131" s="340"/>
      <c r="L131" s="341"/>
      <c r="M131" s="341"/>
      <c r="N131" s="341"/>
    </row>
  </sheetData>
  <sheetProtection algorithmName="SHA-512" hashValue="B0O7jvxXUNMECb4t0iaBx6lOWdibMuqKJ5YV6dAU/UuZIEBqkp8ws5EN/Caahu/kVFeHMEmfETkgzlSVT+DjbA==" saltValue="ReQhQYB6osZbbaBgMucMhQ==" spinCount="100000" sheet="1" objects="1" scenarios="1"/>
  <protectedRanges>
    <protectedRange sqref="C11 C23 C35 C47 C59 C71 C83 C95 C107 C119" name="Data_1"/>
  </protectedRanges>
  <mergeCells count="1">
    <mergeCell ref="B8:C8"/>
  </mergeCells>
  <conditionalFormatting sqref="A11:H130">
    <cfRule type="expression" dxfId="63" priority="1">
      <formula>INDIRECT("E"&amp;ROW())="Sub-question"</formula>
    </cfRule>
    <cfRule type="expression" dxfId="62" priority="2">
      <formula>INDIRECT("H"&amp;ROW())="Shade"</formula>
    </cfRule>
  </conditionalFormatting>
  <conditionalFormatting sqref="C11:C130">
    <cfRule type="expression" dxfId="61" priority="4">
      <formula>INDIRECT("D"&amp;ROW())="Done"</formula>
    </cfRule>
    <cfRule type="expression" dxfId="60" priority="5">
      <formula>INDIRECT("D"&amp;ROW())="Add"</formula>
    </cfRule>
  </conditionalFormatting>
  <dataValidations count="2">
    <dataValidation allowBlank="1" showInputMessage="1" showErrorMessage="1" sqref="C131" xr:uid="{C9887700-CE52-4B59-BA63-758937B10794}"/>
    <dataValidation type="list" allowBlank="1" showInputMessage="1" showErrorMessage="1" sqref="D131:E131 C11 C23 C35 C47 C59 C71 C83 C95 C107 C119" xr:uid="{410B3B73-9F98-460D-99DE-9B9A92B702A3}">
      <formula1>"Enclosed"</formula1>
    </dataValidation>
  </dataValidations>
  <pageMargins left="0.78740157480314965" right="0.78740157480314965" top="0.39370078740157483" bottom="0.78740157480314965" header="0" footer="0.39370078740157483"/>
  <pageSetup paperSize="9" orientation="portrait" r:id="rId1"/>
  <headerFooter>
    <oddFooter>&amp;C&amp;"Arial,Regular"&amp;10&amp;K00-049&amp;P</oddFooter>
  </headerFooter>
  <rowBreaks count="9" manualBreakCount="9">
    <brk id="22" max="2" man="1"/>
    <brk id="34" max="2" man="1"/>
    <brk id="46" max="2" man="1"/>
    <brk id="58" max="2" man="1"/>
    <brk id="70" max="2" man="1"/>
    <brk id="82" max="2" man="1"/>
    <brk id="94" max="16383" man="1"/>
    <brk id="106" max="16383" man="1"/>
    <brk id="118" max="16383" man="1"/>
  </rowBreaks>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2BFD5-05AD-447A-911D-AB67D48C48BA}">
  <sheetPr>
    <tabColor rgb="FFFF0000"/>
  </sheetPr>
  <dimension ref="A1:S72"/>
  <sheetViews>
    <sheetView showGridLines="0" topLeftCell="P1" zoomScaleNormal="100" workbookViewId="0">
      <selection activeCell="O1" sqref="A1:O1048576"/>
    </sheetView>
  </sheetViews>
  <sheetFormatPr defaultColWidth="9" defaultRowHeight="14"/>
  <cols>
    <col min="1" max="1" width="9.453125" style="40" hidden="1" customWidth="1"/>
    <col min="2" max="2" width="69.6328125" style="3" hidden="1" customWidth="1"/>
    <col min="3" max="3" width="11.54296875" style="4" hidden="1" customWidth="1"/>
    <col min="4" max="4" width="8.36328125" style="4" hidden="1" customWidth="1"/>
    <col min="5" max="5" width="9.6328125" style="4" hidden="1" customWidth="1"/>
    <col min="6" max="6" width="12.90625" style="4" hidden="1" customWidth="1"/>
    <col min="7" max="7" width="9.6328125" style="1" hidden="1" customWidth="1"/>
    <col min="8" max="8" width="9" style="1" hidden="1" customWidth="1"/>
    <col min="9" max="9" width="8.6328125" style="4" hidden="1" customWidth="1"/>
    <col min="10" max="10" width="6" style="1" hidden="1" customWidth="1"/>
    <col min="11" max="11" width="78.54296875" style="1" hidden="1" customWidth="1"/>
    <col min="12" max="12" width="8.6328125" style="1" hidden="1" customWidth="1"/>
    <col min="13" max="15" width="9.08984375" style="1" hidden="1" customWidth="1"/>
    <col min="16" max="16" width="9" style="1" customWidth="1"/>
    <col min="17" max="16384" width="9" style="1"/>
  </cols>
  <sheetData>
    <row r="1" spans="1:19" s="343"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349"/>
      <c r="E1" s="343" t="str">
        <f t="array" ref="E1">INDEX(TBL_DATA_00_Doc_Merge[Supplier_Type], MATCH(1, (REF_Doc_Lot=TBL_DATA_00_Doc_Merge[Lot])*(REF_Job_No=TBL_DATA_00_Doc_Merge[Job_No]),0))</f>
        <v>Supplier</v>
      </c>
      <c r="F1" s="582" t="s">
        <v>2224</v>
      </c>
      <c r="I1" s="349"/>
    </row>
    <row r="2" spans="1:19" s="343" customFormat="1" ht="12.5" customHeight="1">
      <c r="A2" s="54" t="str">
        <f t="array" ref="A2">CONCATENATE(INDEX(TBL_DATA_00_Doc_Merge[Supplier_Type], MATCH(1, (REF_Doc_Lot=TBL_DATA_00_Doc_Merge[Lot])*(REF_Job_No=TBL_DATA_00_Doc_Merge[Job_No]),0)), ":")</f>
        <v>Supplier:</v>
      </c>
      <c r="B2" s="54" t="str">
        <f>Response!$A$2</f>
        <v>Purdy Contracts Ltd</v>
      </c>
      <c r="C2" s="349"/>
      <c r="F2" s="582" t="s">
        <v>2225</v>
      </c>
      <c r="I2" s="349"/>
    </row>
    <row r="3" spans="1:19" s="343" customFormat="1" ht="12.5" customHeight="1">
      <c r="A3" s="350"/>
      <c r="B3" s="94"/>
      <c r="C3" s="349"/>
      <c r="F3" s="582" t="s">
        <v>2226</v>
      </c>
      <c r="I3" s="94"/>
    </row>
    <row r="4" spans="1:19" s="131" customFormat="1" ht="17.5">
      <c r="A4" s="88" t="s">
        <v>490</v>
      </c>
      <c r="B4" s="212" t="str">
        <f>IF($E$4="No", "Part not used", "Technical submission")</f>
        <v>Part not used</v>
      </c>
      <c r="C4" s="110"/>
      <c r="D4" s="131" t="str">
        <f>IF(REF_Lotted="Yes", IF(REF_Doc_Lot="All", IF(REF_IntSV_1_Qs="Yes"," for all Lots", "Not used"), CONCATENATE(" for ",SUBSTITUTE(REF_Doc_Lot, "_", " "))), "")</f>
        <v/>
      </c>
      <c r="E4" s="131" t="str">
        <f>IF(OR(REF_Split_Price=100, REF_Int_or_SV="Not applicable"), "No", IF(REF_Lotted="Yes", IF(REF_Doc_Lot="All", IF(REF_IntSV_1_Qs="Yes", "Yes", "No"), "Yes"), "Yes"))</f>
        <v>No</v>
      </c>
      <c r="F4" s="110"/>
    </row>
    <row r="5" spans="1:19" s="116" customFormat="1">
      <c r="A5" s="117"/>
      <c r="B5" s="118"/>
      <c r="C5" s="470"/>
      <c r="F5" s="470"/>
    </row>
    <row r="6" spans="1:19" s="116" customFormat="1">
      <c r="A6" s="214"/>
      <c r="B6" s="299" t="str">
        <f>IF($E$4="No", CONCATENATE($E$6, " (Relates to", SUBSTITUTE(D4, "for ", ""), ")"), CONCATENATE($D$6, $D$4))</f>
        <v>Section not applicable (Relates to)</v>
      </c>
      <c r="C6" s="470"/>
      <c r="D6" s="116" t="str">
        <f>CONCATENATE(REF_Int_or_SV, " questions")</f>
        <v>Not applicable questions</v>
      </c>
      <c r="E6" s="116" t="s">
        <v>213</v>
      </c>
      <c r="F6" s="470"/>
    </row>
    <row r="7" spans="1:19" ht="15.5">
      <c r="A7" s="111"/>
      <c r="B7" s="112"/>
      <c r="I7" s="1"/>
      <c r="L7" s="119"/>
      <c r="M7" s="119"/>
      <c r="N7" s="119"/>
      <c r="O7" s="119"/>
      <c r="P7" s="119"/>
      <c r="Q7" s="119"/>
      <c r="R7" s="119"/>
      <c r="S7" s="119"/>
    </row>
    <row r="8" spans="1:19" ht="25.5" hidden="1" customHeight="1">
      <c r="A8" s="58" t="str">
        <f t="shared" ref="A8:B9" si="0">IF(REF_Int_or_SV="Not applicable", "", IF(J8&lt;&gt;"", J8, ""))</f>
        <v/>
      </c>
      <c r="B8" s="58" t="str">
        <f t="shared" si="0"/>
        <v/>
      </c>
      <c r="I8" s="1"/>
      <c r="J8" s="113" t="s">
        <v>447</v>
      </c>
      <c r="K8" s="696" t="str">
        <f>CONCATENATE($E$1, "s are not required to submit answers to the questions set out below as part of the tender submission.")</f>
        <v>Suppliers are not required to submit answers to the questions set out below as part of the tender submission.</v>
      </c>
      <c r="L8" s="696"/>
      <c r="M8" s="119"/>
      <c r="N8" s="119"/>
      <c r="O8" s="119"/>
      <c r="P8" s="119"/>
      <c r="Q8" s="119"/>
      <c r="R8" s="119"/>
      <c r="S8" s="119"/>
    </row>
    <row r="9" spans="1:19" s="119" customFormat="1" hidden="1">
      <c r="A9" s="58" t="str">
        <f t="shared" si="0"/>
        <v/>
      </c>
      <c r="B9" s="58" t="str">
        <f t="shared" si="0"/>
        <v/>
      </c>
      <c r="C9" s="4"/>
      <c r="D9" s="4"/>
      <c r="E9" s="4"/>
      <c r="F9" s="4"/>
      <c r="G9" s="1"/>
      <c r="H9" s="1"/>
      <c r="I9" s="1"/>
      <c r="J9" s="1"/>
    </row>
    <row r="10" spans="1:19" s="119" customFormat="1" ht="13" hidden="1">
      <c r="A10" s="63" t="s">
        <v>446</v>
      </c>
      <c r="B10" s="63" t="s">
        <v>146</v>
      </c>
      <c r="C10" s="136" t="s">
        <v>330</v>
      </c>
      <c r="D10" s="136" t="s">
        <v>337</v>
      </c>
      <c r="E10" s="136" t="s">
        <v>567</v>
      </c>
      <c r="F10" s="136" t="s">
        <v>488</v>
      </c>
    </row>
    <row r="11" spans="1:19" s="119" customFormat="1" ht="26" hidden="1">
      <c r="A11" s="71" t="str">
        <f>IF(TBL_Q_11_IntSV_All[[#This Row],[Sub_No]]="N/A", TBL_Q_11_IntSV_All[[#This Row],[Q_No]], CONCATENATE(TBL_Q_11_IntSV_All[[#This Row],[Q_No]], TBL_Q_11_IntSV_All[[#This Row],[Sub_No]]))</f>
        <v>Q5.1</v>
      </c>
      <c r="B11" s="73" t="str">
        <f t="array" ref="B11">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1" s="487" t="s">
        <v>146</v>
      </c>
      <c r="D11" s="474" t="s">
        <v>1323</v>
      </c>
      <c r="E11" s="475" t="s">
        <v>24</v>
      </c>
      <c r="F11" s="476" t="str">
        <f t="array" ref="F11">IF($E$4="No", "Shade", IF(OR(INDEX(TBL_ADD_04_Qs_All[Question / Sub-question], MATCH(1, (TBL_Q_11_IntSV_All[[#This Row],[Q_No]]=TBL_ADD_04_Qs_All[Q.])*("Question"=TBL_ADD_04_Qs_All[Type])*("IntSV"=TBL_ADD_04_Qs_All[Section]),0))="Not used", TBL_Q_11_IntSV_All[[#This Row],[Question]]="Not used
"), "Shade", ""))</f>
        <v>Shade</v>
      </c>
    </row>
    <row r="12" spans="1:19" s="119" customFormat="1" ht="26" hidden="1">
      <c r="A12" s="477" t="str">
        <f>IF(TBL_Q_11_IntSV_All[[#This Row],[Sub_No]]="N/A", TBL_Q_11_IntSV_All[[#This Row],[Q_No]], CONCATENATE(TBL_Q_11_IntSV_All[[#This Row],[Q_No]], TBL_Q_11_IntSV_All[[#This Row],[Sub_No]]))</f>
        <v>Q5.1</v>
      </c>
      <c r="B12" s="120" t="str">
        <f t="array" ref="B12">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2" s="487" t="s">
        <v>348</v>
      </c>
      <c r="D12" s="474" t="s">
        <v>1323</v>
      </c>
      <c r="E12" s="475" t="s">
        <v>24</v>
      </c>
      <c r="F12" s="476" t="str">
        <f t="array" ref="F12">IF($E$4="No", "Shade", IF(OR(INDEX(TBL_ADD_04_Qs_All[Question / Sub-question], MATCH(1, (TBL_Q_11_IntSV_All[[#This Row],[Q_No]]=TBL_ADD_04_Qs_All[Q.])*("Question"=TBL_ADD_04_Qs_All[Type])*("IntSV"=TBL_ADD_04_Qs_All[Section]),0))="Not used", TBL_Q_11_IntSV_All[[#This Row],[Question]]="Not used
"), "Shade", ""))</f>
        <v>Shade</v>
      </c>
    </row>
    <row r="13" spans="1:19" s="119" customFormat="1" ht="25" hidden="1">
      <c r="A13" s="479" t="str">
        <f>IF(TBL_Q_11_IntSV_All[[#This Row],[Sub_No]]="N/A", TBL_Q_11_IntSV_All[[#This Row],[Q_No]], CONCATENATE(TBL_Q_11_IntSV_All[[#This Row],[Q_No]], TBL_Q_11_IntSV_All[[#This Row],[Sub_No]]))</f>
        <v>Q5.1.1</v>
      </c>
      <c r="B13" s="120" t="str">
        <f t="array" ref="B13">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3" s="487" t="s">
        <v>332</v>
      </c>
      <c r="D13" s="474" t="s">
        <v>1323</v>
      </c>
      <c r="E13" s="475" t="s">
        <v>568</v>
      </c>
      <c r="F13" s="476" t="str">
        <f t="array" ref="F13">IF($E$4="No", "Shade", IF(OR(INDEX(TBL_ADD_04_Qs_All[Question / Sub-question], MATCH(1, (TBL_Q_11_IntSV_All[[#This Row],[Q_No]]=TBL_ADD_04_Qs_All[Q.])*("Question"=TBL_ADD_04_Qs_All[Type])*("IntSV"=TBL_ADD_04_Qs_All[Section]),0))="Not used", TBL_Q_11_IntSV_All[[#This Row],[Question]]="Not used
"), "Shade", ""))</f>
        <v>Shade</v>
      </c>
    </row>
    <row r="14" spans="1:19" s="119" customFormat="1" ht="25" hidden="1">
      <c r="A14" s="479" t="str">
        <f>IF(TBL_Q_11_IntSV_All[[#This Row],[Sub_No]]="N/A", TBL_Q_11_IntSV_All[[#This Row],[Q_No]], CONCATENATE(TBL_Q_11_IntSV_All[[#This Row],[Q_No]], TBL_Q_11_IntSV_All[[#This Row],[Sub_No]]))</f>
        <v>Q5.1.2</v>
      </c>
      <c r="B14" s="120" t="str">
        <f t="array" ref="B14">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4" s="487" t="s">
        <v>332</v>
      </c>
      <c r="D14" s="474" t="s">
        <v>1323</v>
      </c>
      <c r="E14" s="475" t="s">
        <v>572</v>
      </c>
      <c r="F14" s="476" t="str">
        <f t="array" ref="F14">IF($E$4="No", "Shade", IF(OR(INDEX(TBL_ADD_04_Qs_All[Question / Sub-question], MATCH(1, (TBL_Q_11_IntSV_All[[#This Row],[Q_No]]=TBL_ADD_04_Qs_All[Q.])*("Question"=TBL_ADD_04_Qs_All[Type])*("IntSV"=TBL_ADD_04_Qs_All[Section]),0))="Not used", TBL_Q_11_IntSV_All[[#This Row],[Question]]="Not used
"), "Shade", ""))</f>
        <v>Shade</v>
      </c>
    </row>
    <row r="15" spans="1:19" s="119" customFormat="1" ht="25" hidden="1">
      <c r="A15" s="479" t="str">
        <f>IF(TBL_Q_11_IntSV_All[[#This Row],[Sub_No]]="N/A", TBL_Q_11_IntSV_All[[#This Row],[Q_No]], CONCATENATE(TBL_Q_11_IntSV_All[[#This Row],[Q_No]], TBL_Q_11_IntSV_All[[#This Row],[Sub_No]]))</f>
        <v>Q5.1.3</v>
      </c>
      <c r="B15" s="120" t="str">
        <f t="array" ref="B15">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5" s="487" t="s">
        <v>332</v>
      </c>
      <c r="D15" s="474" t="s">
        <v>1323</v>
      </c>
      <c r="E15" s="475" t="s">
        <v>569</v>
      </c>
      <c r="F15" s="476" t="str">
        <f t="array" ref="F15">IF($E$4="No", "Shade", IF(OR(INDEX(TBL_ADD_04_Qs_All[Question / Sub-question], MATCH(1, (TBL_Q_11_IntSV_All[[#This Row],[Q_No]]=TBL_ADD_04_Qs_All[Q.])*("Question"=TBL_ADD_04_Qs_All[Type])*("IntSV"=TBL_ADD_04_Qs_All[Section]),0))="Not used", TBL_Q_11_IntSV_All[[#This Row],[Question]]="Not used
"), "Shade", ""))</f>
        <v>Shade</v>
      </c>
    </row>
    <row r="16" spans="1:19" s="119" customFormat="1" ht="25" hidden="1">
      <c r="A16" s="479" t="str">
        <f>IF(TBL_Q_11_IntSV_All[[#This Row],[Sub_No]]="N/A", TBL_Q_11_IntSV_All[[#This Row],[Q_No]], CONCATENATE(TBL_Q_11_IntSV_All[[#This Row],[Q_No]], TBL_Q_11_IntSV_All[[#This Row],[Sub_No]]))</f>
        <v>Q5.1.4</v>
      </c>
      <c r="B16" s="120" t="str">
        <f t="array" ref="B16">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6" s="487" t="s">
        <v>332</v>
      </c>
      <c r="D16" s="474" t="s">
        <v>1323</v>
      </c>
      <c r="E16" s="475" t="s">
        <v>570</v>
      </c>
      <c r="F16" s="476" t="str">
        <f t="array" ref="F16">IF($E$4="No", "Shade", IF(OR(INDEX(TBL_ADD_04_Qs_All[Question / Sub-question], MATCH(1, (TBL_Q_11_IntSV_All[[#This Row],[Q_No]]=TBL_ADD_04_Qs_All[Q.])*("Question"=TBL_ADD_04_Qs_All[Type])*("IntSV"=TBL_ADD_04_Qs_All[Section]),0))="Not used", TBL_Q_11_IntSV_All[[#This Row],[Question]]="Not used
"), "Shade", ""))</f>
        <v>Shade</v>
      </c>
    </row>
    <row r="17" spans="1:6" s="119" customFormat="1" ht="25" hidden="1">
      <c r="A17" s="479" t="str">
        <f>IF(TBL_Q_11_IntSV_All[[#This Row],[Sub_No]]="N/A", TBL_Q_11_IntSV_All[[#This Row],[Q_No]], CONCATENATE(TBL_Q_11_IntSV_All[[#This Row],[Q_No]], TBL_Q_11_IntSV_All[[#This Row],[Sub_No]]))</f>
        <v>Q5.1.5</v>
      </c>
      <c r="B17" s="120" t="str">
        <f t="array" ref="B17">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7" s="487" t="s">
        <v>332</v>
      </c>
      <c r="D17" s="474" t="s">
        <v>1323</v>
      </c>
      <c r="E17" s="475" t="s">
        <v>571</v>
      </c>
      <c r="F17" s="476" t="str">
        <f t="array" ref="F17">IF($E$4="No", "Shade", IF(OR(INDEX(TBL_ADD_04_Qs_All[Question / Sub-question], MATCH(1, (TBL_Q_11_IntSV_All[[#This Row],[Q_No]]=TBL_ADD_04_Qs_All[Q.])*("Question"=TBL_ADD_04_Qs_All[Type])*("IntSV"=TBL_ADD_04_Qs_All[Section]),0))="Not used", TBL_Q_11_IntSV_All[[#This Row],[Question]]="Not used
"), "Shade", ""))</f>
        <v>Shade</v>
      </c>
    </row>
    <row r="18" spans="1:6" s="119" customFormat="1" ht="25" hidden="1">
      <c r="A18" s="479" t="str">
        <f>IF(TBL_Q_11_IntSV_All[[#This Row],[Sub_No]]="N/A", TBL_Q_11_IntSV_All[[#This Row],[Q_No]], CONCATENATE(TBL_Q_11_IntSV_All[[#This Row],[Q_No]], TBL_Q_11_IntSV_All[[#This Row],[Sub_No]]))</f>
        <v>Q5.1.6</v>
      </c>
      <c r="B18" s="120" t="str">
        <f t="array" ref="B18">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8" s="487" t="s">
        <v>332</v>
      </c>
      <c r="D18" s="474" t="s">
        <v>1323</v>
      </c>
      <c r="E18" s="475" t="s">
        <v>573</v>
      </c>
      <c r="F18" s="476" t="str">
        <f t="array" ref="F18">IF($E$4="No", "Shade", IF(OR(INDEX(TBL_ADD_04_Qs_All[Question / Sub-question], MATCH(1, (TBL_Q_11_IntSV_All[[#This Row],[Q_No]]=TBL_ADD_04_Qs_All[Q.])*("Question"=TBL_ADD_04_Qs_All[Type])*("IntSV"=TBL_ADD_04_Qs_All[Section]),0))="Not used", TBL_Q_11_IntSV_All[[#This Row],[Question]]="Not used
"), "Shade", ""))</f>
        <v>Shade</v>
      </c>
    </row>
    <row r="19" spans="1:6" s="119" customFormat="1" ht="25" hidden="1">
      <c r="A19" s="479" t="str">
        <f>IF(TBL_Q_11_IntSV_All[[#This Row],[Sub_No]]="N/A", TBL_Q_11_IntSV_All[[#This Row],[Q_No]], CONCATENATE(TBL_Q_11_IntSV_All[[#This Row],[Q_No]], TBL_Q_11_IntSV_All[[#This Row],[Sub_No]]))</f>
        <v>Q5.1.7</v>
      </c>
      <c r="B19" s="120" t="str">
        <f t="array" ref="B19">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19" s="487" t="s">
        <v>332</v>
      </c>
      <c r="D19" s="474" t="s">
        <v>1323</v>
      </c>
      <c r="E19" s="475" t="s">
        <v>574</v>
      </c>
      <c r="F19" s="476" t="str">
        <f t="array" ref="F19">IF($E$4="No", "Shade", IF(OR(INDEX(TBL_ADD_04_Qs_All[Question / Sub-question], MATCH(1, (TBL_Q_11_IntSV_All[[#This Row],[Q_No]]=TBL_ADD_04_Qs_All[Q.])*("Question"=TBL_ADD_04_Qs_All[Type])*("IntSV"=TBL_ADD_04_Qs_All[Section]),0))="Not used", TBL_Q_11_IntSV_All[[#This Row],[Question]]="Not used
"), "Shade", ""))</f>
        <v>Shade</v>
      </c>
    </row>
    <row r="20" spans="1:6" s="119" customFormat="1" ht="25" hidden="1">
      <c r="A20" s="479" t="str">
        <f>IF(TBL_Q_11_IntSV_All[[#This Row],[Sub_No]]="N/A", TBL_Q_11_IntSV_All[[#This Row],[Q_No]], CONCATENATE(TBL_Q_11_IntSV_All[[#This Row],[Q_No]], TBL_Q_11_IntSV_All[[#This Row],[Sub_No]]))</f>
        <v>Q5.1.8</v>
      </c>
      <c r="B20" s="120" t="str">
        <f t="array" ref="B20">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0" s="487" t="s">
        <v>332</v>
      </c>
      <c r="D20" s="474" t="s">
        <v>1323</v>
      </c>
      <c r="E20" s="475" t="s">
        <v>575</v>
      </c>
      <c r="F20" s="476" t="str">
        <f t="array" ref="F20">IF($E$4="No", "Shade", IF(OR(INDEX(TBL_ADD_04_Qs_All[Question / Sub-question], MATCH(1, (TBL_Q_11_IntSV_All[[#This Row],[Q_No]]=TBL_ADD_04_Qs_All[Q.])*("Question"=TBL_ADD_04_Qs_All[Type])*("IntSV"=TBL_ADD_04_Qs_All[Section]),0))="Not used", TBL_Q_11_IntSV_All[[#This Row],[Question]]="Not used
"), "Shade", ""))</f>
        <v>Shade</v>
      </c>
    </row>
    <row r="21" spans="1:6" s="119" customFormat="1" ht="25" hidden="1">
      <c r="A21" s="479" t="str">
        <f>IF(TBL_Q_11_IntSV_All[[#This Row],[Sub_No]]="N/A", TBL_Q_11_IntSV_All[[#This Row],[Q_No]], CONCATENATE(TBL_Q_11_IntSV_All[[#This Row],[Q_No]], TBL_Q_11_IntSV_All[[#This Row],[Sub_No]]))</f>
        <v>Q5.1.9</v>
      </c>
      <c r="B21" s="120" t="str">
        <f t="array" ref="B21">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1" s="487" t="s">
        <v>332</v>
      </c>
      <c r="D21" s="474" t="s">
        <v>1323</v>
      </c>
      <c r="E21" s="475" t="s">
        <v>576</v>
      </c>
      <c r="F21" s="476" t="str">
        <f t="array" ref="F21">IF($E$4="No", "Shade", IF(OR(INDEX(TBL_ADD_04_Qs_All[Question / Sub-question], MATCH(1, (TBL_Q_11_IntSV_All[[#This Row],[Q_No]]=TBL_ADD_04_Qs_All[Q.])*("Question"=TBL_ADD_04_Qs_All[Type])*("IntSV"=TBL_ADD_04_Qs_All[Section]),0))="Not used", TBL_Q_11_IntSV_All[[#This Row],[Question]]="Not used
"), "Shade", ""))</f>
        <v>Shade</v>
      </c>
    </row>
    <row r="22" spans="1:6" s="119" customFormat="1" ht="25" hidden="1">
      <c r="A22" s="481" t="str">
        <f>IF(TBL_Q_11_IntSV_All[[#This Row],[Sub_No]]="N/A", TBL_Q_11_IntSV_All[[#This Row],[Q_No]], CONCATENATE(TBL_Q_11_IntSV_All[[#This Row],[Q_No]], TBL_Q_11_IntSV_All[[#This Row],[Sub_No]]))</f>
        <v>Q5.1.10</v>
      </c>
      <c r="B22" s="482" t="str">
        <f t="array" ref="B22">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2" s="487" t="s">
        <v>332</v>
      </c>
      <c r="D22" s="474" t="s">
        <v>1323</v>
      </c>
      <c r="E22" s="475" t="s">
        <v>577</v>
      </c>
      <c r="F22" s="476" t="str">
        <f t="array" ref="F22">IF($E$4="No", "Shade", IF(OR(INDEX(TBL_ADD_04_Qs_All[Question / Sub-question], MATCH(1, (TBL_Q_11_IntSV_All[[#This Row],[Q_No]]=TBL_ADD_04_Qs_All[Q.])*("Question"=TBL_ADD_04_Qs_All[Type])*("IntSV"=TBL_ADD_04_Qs_All[Section]),0))="Not used", TBL_Q_11_IntSV_All[[#This Row],[Question]]="Not used
"), "Shade", ""))</f>
        <v>Shade</v>
      </c>
    </row>
    <row r="23" spans="1:6" s="119" customFormat="1" ht="26" hidden="1">
      <c r="A23" s="71" t="str">
        <f>IF(TBL_Q_11_IntSV_All[[#This Row],[Sub_No]]="N/A", TBL_Q_11_IntSV_All[[#This Row],[Q_No]], CONCATENATE(TBL_Q_11_IntSV_All[[#This Row],[Q_No]], TBL_Q_11_IntSV_All[[#This Row],[Sub_No]]))</f>
        <v>Q5.2</v>
      </c>
      <c r="B23" s="73" t="str">
        <f t="array" ref="B23">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3" s="487" t="s">
        <v>146</v>
      </c>
      <c r="D23" s="474" t="s">
        <v>1324</v>
      </c>
      <c r="E23" s="475" t="s">
        <v>24</v>
      </c>
      <c r="F23" s="476" t="str">
        <f t="array" ref="F23">IF($E$4="No", "Shade", IF(OR(INDEX(TBL_ADD_04_Qs_All[Question / Sub-question], MATCH(1, (TBL_Q_11_IntSV_All[[#This Row],[Q_No]]=TBL_ADD_04_Qs_All[Q.])*("Question"=TBL_ADD_04_Qs_All[Type])*("IntSV"=TBL_ADD_04_Qs_All[Section]),0))="Not used", TBL_Q_11_IntSV_All[[#This Row],[Question]]="Not used
"), "Shade", ""))</f>
        <v>Shade</v>
      </c>
    </row>
    <row r="24" spans="1:6" s="119" customFormat="1" ht="26" hidden="1">
      <c r="A24" s="477" t="str">
        <f>IF(TBL_Q_11_IntSV_All[[#This Row],[Sub_No]]="N/A", TBL_Q_11_IntSV_All[[#This Row],[Q_No]], CONCATENATE(TBL_Q_11_IntSV_All[[#This Row],[Q_No]], TBL_Q_11_IntSV_All[[#This Row],[Sub_No]]))</f>
        <v>Q5.2</v>
      </c>
      <c r="B24" s="120" t="str">
        <f t="array" ref="B24">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4" s="487" t="s">
        <v>348</v>
      </c>
      <c r="D24" s="474" t="s">
        <v>1324</v>
      </c>
      <c r="E24" s="475" t="s">
        <v>24</v>
      </c>
      <c r="F24" s="476" t="str">
        <f t="array" ref="F24">IF($E$4="No", "Shade", IF(OR(INDEX(TBL_ADD_04_Qs_All[Question / Sub-question], MATCH(1, (TBL_Q_11_IntSV_All[[#This Row],[Q_No]]=TBL_ADD_04_Qs_All[Q.])*("Question"=TBL_ADD_04_Qs_All[Type])*("IntSV"=TBL_ADD_04_Qs_All[Section]),0))="Not used", TBL_Q_11_IntSV_All[[#This Row],[Question]]="Not used
"), "Shade", ""))</f>
        <v>Shade</v>
      </c>
    </row>
    <row r="25" spans="1:6" s="119" customFormat="1" ht="25" hidden="1">
      <c r="A25" s="479" t="str">
        <f>IF(TBL_Q_11_IntSV_All[[#This Row],[Sub_No]]="N/A", TBL_Q_11_IntSV_All[[#This Row],[Q_No]], CONCATENATE(TBL_Q_11_IntSV_All[[#This Row],[Q_No]], TBL_Q_11_IntSV_All[[#This Row],[Sub_No]]))</f>
        <v>Q5.2.1</v>
      </c>
      <c r="B25" s="120" t="str">
        <f t="array" ref="B25">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5" s="487" t="s">
        <v>332</v>
      </c>
      <c r="D25" s="474" t="s">
        <v>1324</v>
      </c>
      <c r="E25" s="475" t="s">
        <v>568</v>
      </c>
      <c r="F25" s="476" t="str">
        <f t="array" ref="F25">IF($E$4="No", "Shade", IF(OR(INDEX(TBL_ADD_04_Qs_All[Question / Sub-question], MATCH(1, (TBL_Q_11_IntSV_All[[#This Row],[Q_No]]=TBL_ADD_04_Qs_All[Q.])*("Question"=TBL_ADD_04_Qs_All[Type])*("IntSV"=TBL_ADD_04_Qs_All[Section]),0))="Not used", TBL_Q_11_IntSV_All[[#This Row],[Question]]="Not used
"), "Shade", ""))</f>
        <v>Shade</v>
      </c>
    </row>
    <row r="26" spans="1:6" s="119" customFormat="1" ht="25" hidden="1">
      <c r="A26" s="479" t="str">
        <f>IF(TBL_Q_11_IntSV_All[[#This Row],[Sub_No]]="N/A", TBL_Q_11_IntSV_All[[#This Row],[Q_No]], CONCATENATE(TBL_Q_11_IntSV_All[[#This Row],[Q_No]], TBL_Q_11_IntSV_All[[#This Row],[Sub_No]]))</f>
        <v>Q5.2.2</v>
      </c>
      <c r="B26" s="120" t="str">
        <f t="array" ref="B26">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6" s="487" t="s">
        <v>332</v>
      </c>
      <c r="D26" s="474" t="s">
        <v>1324</v>
      </c>
      <c r="E26" s="475" t="s">
        <v>572</v>
      </c>
      <c r="F26" s="476" t="str">
        <f t="array" ref="F26">IF($E$4="No", "Shade", IF(OR(INDEX(TBL_ADD_04_Qs_All[Question / Sub-question], MATCH(1, (TBL_Q_11_IntSV_All[[#This Row],[Q_No]]=TBL_ADD_04_Qs_All[Q.])*("Question"=TBL_ADD_04_Qs_All[Type])*("IntSV"=TBL_ADD_04_Qs_All[Section]),0))="Not used", TBL_Q_11_IntSV_All[[#This Row],[Question]]="Not used
"), "Shade", ""))</f>
        <v>Shade</v>
      </c>
    </row>
    <row r="27" spans="1:6" s="119" customFormat="1" ht="25" hidden="1">
      <c r="A27" s="479" t="str">
        <f>IF(TBL_Q_11_IntSV_All[[#This Row],[Sub_No]]="N/A", TBL_Q_11_IntSV_All[[#This Row],[Q_No]], CONCATENATE(TBL_Q_11_IntSV_All[[#This Row],[Q_No]], TBL_Q_11_IntSV_All[[#This Row],[Sub_No]]))</f>
        <v>Q5.2.3</v>
      </c>
      <c r="B27" s="120" t="str">
        <f t="array" ref="B27">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7" s="487" t="s">
        <v>332</v>
      </c>
      <c r="D27" s="474" t="s">
        <v>1324</v>
      </c>
      <c r="E27" s="475" t="s">
        <v>569</v>
      </c>
      <c r="F27" s="476" t="str">
        <f t="array" ref="F27">IF($E$4="No", "Shade", IF(OR(INDEX(TBL_ADD_04_Qs_All[Question / Sub-question], MATCH(1, (TBL_Q_11_IntSV_All[[#This Row],[Q_No]]=TBL_ADD_04_Qs_All[Q.])*("Question"=TBL_ADD_04_Qs_All[Type])*("IntSV"=TBL_ADD_04_Qs_All[Section]),0))="Not used", TBL_Q_11_IntSV_All[[#This Row],[Question]]="Not used
"), "Shade", ""))</f>
        <v>Shade</v>
      </c>
    </row>
    <row r="28" spans="1:6" s="119" customFormat="1" ht="25" hidden="1">
      <c r="A28" s="479" t="str">
        <f>IF(TBL_Q_11_IntSV_All[[#This Row],[Sub_No]]="N/A", TBL_Q_11_IntSV_All[[#This Row],[Q_No]], CONCATENATE(TBL_Q_11_IntSV_All[[#This Row],[Q_No]], TBL_Q_11_IntSV_All[[#This Row],[Sub_No]]))</f>
        <v>Q5.2.4</v>
      </c>
      <c r="B28" s="120" t="str">
        <f t="array" ref="B28">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8" s="487" t="s">
        <v>332</v>
      </c>
      <c r="D28" s="474" t="s">
        <v>1324</v>
      </c>
      <c r="E28" s="475" t="s">
        <v>570</v>
      </c>
      <c r="F28" s="476" t="str">
        <f t="array" ref="F28">IF($E$4="No", "Shade", IF(OR(INDEX(TBL_ADD_04_Qs_All[Question / Sub-question], MATCH(1, (TBL_Q_11_IntSV_All[[#This Row],[Q_No]]=TBL_ADD_04_Qs_All[Q.])*("Question"=TBL_ADD_04_Qs_All[Type])*("IntSV"=TBL_ADD_04_Qs_All[Section]),0))="Not used", TBL_Q_11_IntSV_All[[#This Row],[Question]]="Not used
"), "Shade", ""))</f>
        <v>Shade</v>
      </c>
    </row>
    <row r="29" spans="1:6" s="119" customFormat="1" ht="25" hidden="1">
      <c r="A29" s="479" t="str">
        <f>IF(TBL_Q_11_IntSV_All[[#This Row],[Sub_No]]="N/A", TBL_Q_11_IntSV_All[[#This Row],[Q_No]], CONCATENATE(TBL_Q_11_IntSV_All[[#This Row],[Q_No]], TBL_Q_11_IntSV_All[[#This Row],[Sub_No]]))</f>
        <v>Q5.2.5</v>
      </c>
      <c r="B29" s="120" t="str">
        <f t="array" ref="B29">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29" s="487" t="s">
        <v>332</v>
      </c>
      <c r="D29" s="474" t="s">
        <v>1324</v>
      </c>
      <c r="E29" s="475" t="s">
        <v>571</v>
      </c>
      <c r="F29" s="476" t="str">
        <f t="array" ref="F29">IF($E$4="No", "Shade", IF(OR(INDEX(TBL_ADD_04_Qs_All[Question / Sub-question], MATCH(1, (TBL_Q_11_IntSV_All[[#This Row],[Q_No]]=TBL_ADD_04_Qs_All[Q.])*("Question"=TBL_ADD_04_Qs_All[Type])*("IntSV"=TBL_ADD_04_Qs_All[Section]),0))="Not used", TBL_Q_11_IntSV_All[[#This Row],[Question]]="Not used
"), "Shade", ""))</f>
        <v>Shade</v>
      </c>
    </row>
    <row r="30" spans="1:6" s="119" customFormat="1" ht="25" hidden="1">
      <c r="A30" s="479" t="str">
        <f>IF(TBL_Q_11_IntSV_All[[#This Row],[Sub_No]]="N/A", TBL_Q_11_IntSV_All[[#This Row],[Q_No]], CONCATENATE(TBL_Q_11_IntSV_All[[#This Row],[Q_No]], TBL_Q_11_IntSV_All[[#This Row],[Sub_No]]))</f>
        <v>Q5.2.6</v>
      </c>
      <c r="B30" s="120" t="str">
        <f t="array" ref="B30">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0" s="487" t="s">
        <v>332</v>
      </c>
      <c r="D30" s="474" t="s">
        <v>1324</v>
      </c>
      <c r="E30" s="475" t="s">
        <v>573</v>
      </c>
      <c r="F30" s="476" t="str">
        <f t="array" ref="F30">IF($E$4="No", "Shade", IF(OR(INDEX(TBL_ADD_04_Qs_All[Question / Sub-question], MATCH(1, (TBL_Q_11_IntSV_All[[#This Row],[Q_No]]=TBL_ADD_04_Qs_All[Q.])*("Question"=TBL_ADD_04_Qs_All[Type])*("IntSV"=TBL_ADD_04_Qs_All[Section]),0))="Not used", TBL_Q_11_IntSV_All[[#This Row],[Question]]="Not used
"), "Shade", ""))</f>
        <v>Shade</v>
      </c>
    </row>
    <row r="31" spans="1:6" s="119" customFormat="1" ht="25" hidden="1">
      <c r="A31" s="479" t="str">
        <f>IF(TBL_Q_11_IntSV_All[[#This Row],[Sub_No]]="N/A", TBL_Q_11_IntSV_All[[#This Row],[Q_No]], CONCATENATE(TBL_Q_11_IntSV_All[[#This Row],[Q_No]], TBL_Q_11_IntSV_All[[#This Row],[Sub_No]]))</f>
        <v>Q5.2.7</v>
      </c>
      <c r="B31" s="120" t="str">
        <f t="array" ref="B31">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1" s="487" t="s">
        <v>332</v>
      </c>
      <c r="D31" s="474" t="s">
        <v>1324</v>
      </c>
      <c r="E31" s="475" t="s">
        <v>574</v>
      </c>
      <c r="F31" s="476" t="str">
        <f t="array" ref="F31">IF($E$4="No", "Shade", IF(OR(INDEX(TBL_ADD_04_Qs_All[Question / Sub-question], MATCH(1, (TBL_Q_11_IntSV_All[[#This Row],[Q_No]]=TBL_ADD_04_Qs_All[Q.])*("Question"=TBL_ADD_04_Qs_All[Type])*("IntSV"=TBL_ADD_04_Qs_All[Section]),0))="Not used", TBL_Q_11_IntSV_All[[#This Row],[Question]]="Not used
"), "Shade", ""))</f>
        <v>Shade</v>
      </c>
    </row>
    <row r="32" spans="1:6" s="119" customFormat="1" ht="25" hidden="1">
      <c r="A32" s="479" t="str">
        <f>IF(TBL_Q_11_IntSV_All[[#This Row],[Sub_No]]="N/A", TBL_Q_11_IntSV_All[[#This Row],[Q_No]], CONCATENATE(TBL_Q_11_IntSV_All[[#This Row],[Q_No]], TBL_Q_11_IntSV_All[[#This Row],[Sub_No]]))</f>
        <v>Q5.2.8</v>
      </c>
      <c r="B32" s="120" t="str">
        <f t="array" ref="B32">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2" s="487" t="s">
        <v>332</v>
      </c>
      <c r="D32" s="474" t="s">
        <v>1324</v>
      </c>
      <c r="E32" s="475" t="s">
        <v>575</v>
      </c>
      <c r="F32" s="476" t="str">
        <f t="array" ref="F32">IF($E$4="No", "Shade", IF(OR(INDEX(TBL_ADD_04_Qs_All[Question / Sub-question], MATCH(1, (TBL_Q_11_IntSV_All[[#This Row],[Q_No]]=TBL_ADD_04_Qs_All[Q.])*("Question"=TBL_ADD_04_Qs_All[Type])*("IntSV"=TBL_ADD_04_Qs_All[Section]),0))="Not used", TBL_Q_11_IntSV_All[[#This Row],[Question]]="Not used
"), "Shade", ""))</f>
        <v>Shade</v>
      </c>
    </row>
    <row r="33" spans="1:6" s="119" customFormat="1" ht="25" hidden="1">
      <c r="A33" s="479" t="str">
        <f>IF(TBL_Q_11_IntSV_All[[#This Row],[Sub_No]]="N/A", TBL_Q_11_IntSV_All[[#This Row],[Q_No]], CONCATENATE(TBL_Q_11_IntSV_All[[#This Row],[Q_No]], TBL_Q_11_IntSV_All[[#This Row],[Sub_No]]))</f>
        <v>Q5.2.9</v>
      </c>
      <c r="B33" s="120" t="str">
        <f t="array" ref="B33">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3" s="487" t="s">
        <v>332</v>
      </c>
      <c r="D33" s="474" t="s">
        <v>1324</v>
      </c>
      <c r="E33" s="475" t="s">
        <v>576</v>
      </c>
      <c r="F33" s="476" t="str">
        <f t="array" ref="F33">IF($E$4="No", "Shade", IF(OR(INDEX(TBL_ADD_04_Qs_All[Question / Sub-question], MATCH(1, (TBL_Q_11_IntSV_All[[#This Row],[Q_No]]=TBL_ADD_04_Qs_All[Q.])*("Question"=TBL_ADD_04_Qs_All[Type])*("IntSV"=TBL_ADD_04_Qs_All[Section]),0))="Not used", TBL_Q_11_IntSV_All[[#This Row],[Question]]="Not used
"), "Shade", ""))</f>
        <v>Shade</v>
      </c>
    </row>
    <row r="34" spans="1:6" s="119" customFormat="1" ht="25" hidden="1">
      <c r="A34" s="481" t="str">
        <f>IF(TBL_Q_11_IntSV_All[[#This Row],[Sub_No]]="N/A", TBL_Q_11_IntSV_All[[#This Row],[Q_No]], CONCATENATE(TBL_Q_11_IntSV_All[[#This Row],[Q_No]], TBL_Q_11_IntSV_All[[#This Row],[Sub_No]]))</f>
        <v>Q5.2.10</v>
      </c>
      <c r="B34" s="482" t="str">
        <f t="array" ref="B34">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4" s="487" t="s">
        <v>332</v>
      </c>
      <c r="D34" s="474" t="s">
        <v>1324</v>
      </c>
      <c r="E34" s="475" t="s">
        <v>577</v>
      </c>
      <c r="F34" s="476" t="str">
        <f t="array" ref="F34">IF($E$4="No", "Shade", IF(OR(INDEX(TBL_ADD_04_Qs_All[Question / Sub-question], MATCH(1, (TBL_Q_11_IntSV_All[[#This Row],[Q_No]]=TBL_ADD_04_Qs_All[Q.])*("Question"=TBL_ADD_04_Qs_All[Type])*("IntSV"=TBL_ADD_04_Qs_All[Section]),0))="Not used", TBL_Q_11_IntSV_All[[#This Row],[Question]]="Not used
"), "Shade", ""))</f>
        <v>Shade</v>
      </c>
    </row>
    <row r="35" spans="1:6" s="119" customFormat="1" ht="26" hidden="1">
      <c r="A35" s="71" t="str">
        <f>IF(TBL_Q_11_IntSV_All[[#This Row],[Sub_No]]="N/A", TBL_Q_11_IntSV_All[[#This Row],[Q_No]], CONCATENATE(TBL_Q_11_IntSV_All[[#This Row],[Q_No]], TBL_Q_11_IntSV_All[[#This Row],[Sub_No]]))</f>
        <v>Q5.3</v>
      </c>
      <c r="B35" s="73" t="str">
        <f t="array" ref="B35">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5" s="487" t="s">
        <v>146</v>
      </c>
      <c r="D35" s="474" t="s">
        <v>1325</v>
      </c>
      <c r="E35" s="475" t="s">
        <v>24</v>
      </c>
      <c r="F35" s="476" t="str">
        <f t="array" ref="F35">IF($E$4="No", "Shade", IF(OR(INDEX(TBL_ADD_04_Qs_All[Question / Sub-question], MATCH(1, (TBL_Q_11_IntSV_All[[#This Row],[Q_No]]=TBL_ADD_04_Qs_All[Q.])*("Question"=TBL_ADD_04_Qs_All[Type])*("IntSV"=TBL_ADD_04_Qs_All[Section]),0))="Not used", TBL_Q_11_IntSV_All[[#This Row],[Question]]="Not used
"), "Shade", ""))</f>
        <v>Shade</v>
      </c>
    </row>
    <row r="36" spans="1:6" s="119" customFormat="1" ht="26" hidden="1">
      <c r="A36" s="477" t="str">
        <f>IF(TBL_Q_11_IntSV_All[[#This Row],[Sub_No]]="N/A", TBL_Q_11_IntSV_All[[#This Row],[Q_No]], CONCATENATE(TBL_Q_11_IntSV_All[[#This Row],[Q_No]], TBL_Q_11_IntSV_All[[#This Row],[Sub_No]]))</f>
        <v>Q5.3</v>
      </c>
      <c r="B36" s="120" t="str">
        <f t="array" ref="B36">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6" s="487" t="s">
        <v>348</v>
      </c>
      <c r="D36" s="474" t="s">
        <v>1325</v>
      </c>
      <c r="E36" s="475" t="s">
        <v>24</v>
      </c>
      <c r="F36" s="476" t="str">
        <f t="array" ref="F36">IF($E$4="No", "Shade", IF(OR(INDEX(TBL_ADD_04_Qs_All[Question / Sub-question], MATCH(1, (TBL_Q_11_IntSV_All[[#This Row],[Q_No]]=TBL_ADD_04_Qs_All[Q.])*("Question"=TBL_ADD_04_Qs_All[Type])*("IntSV"=TBL_ADD_04_Qs_All[Section]),0))="Not used", TBL_Q_11_IntSV_All[[#This Row],[Question]]="Not used
"), "Shade", ""))</f>
        <v>Shade</v>
      </c>
    </row>
    <row r="37" spans="1:6" s="119" customFormat="1" ht="25" hidden="1">
      <c r="A37" s="479" t="str">
        <f>IF(TBL_Q_11_IntSV_All[[#This Row],[Sub_No]]="N/A", TBL_Q_11_IntSV_All[[#This Row],[Q_No]], CONCATENATE(TBL_Q_11_IntSV_All[[#This Row],[Q_No]], TBL_Q_11_IntSV_All[[#This Row],[Sub_No]]))</f>
        <v>Q5.3.1</v>
      </c>
      <c r="B37" s="120" t="str">
        <f t="array" ref="B37">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7" s="487" t="s">
        <v>332</v>
      </c>
      <c r="D37" s="474" t="s">
        <v>1325</v>
      </c>
      <c r="E37" s="475" t="s">
        <v>568</v>
      </c>
      <c r="F37" s="476" t="str">
        <f t="array" ref="F37">IF($E$4="No", "Shade", IF(OR(INDEX(TBL_ADD_04_Qs_All[Question / Sub-question], MATCH(1, (TBL_Q_11_IntSV_All[[#This Row],[Q_No]]=TBL_ADD_04_Qs_All[Q.])*("Question"=TBL_ADD_04_Qs_All[Type])*("IntSV"=TBL_ADD_04_Qs_All[Section]),0))="Not used", TBL_Q_11_IntSV_All[[#This Row],[Question]]="Not used
"), "Shade", ""))</f>
        <v>Shade</v>
      </c>
    </row>
    <row r="38" spans="1:6" s="119" customFormat="1" ht="25" hidden="1">
      <c r="A38" s="479" t="str">
        <f>IF(TBL_Q_11_IntSV_All[[#This Row],[Sub_No]]="N/A", TBL_Q_11_IntSV_All[[#This Row],[Q_No]], CONCATENATE(TBL_Q_11_IntSV_All[[#This Row],[Q_No]], TBL_Q_11_IntSV_All[[#This Row],[Sub_No]]))</f>
        <v>Q5.3.2</v>
      </c>
      <c r="B38" s="120" t="str">
        <f t="array" ref="B38">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8" s="487" t="s">
        <v>332</v>
      </c>
      <c r="D38" s="474" t="s">
        <v>1325</v>
      </c>
      <c r="E38" s="475" t="s">
        <v>572</v>
      </c>
      <c r="F38" s="476" t="str">
        <f t="array" ref="F38">IF($E$4="No", "Shade", IF(OR(INDEX(TBL_ADD_04_Qs_All[Question / Sub-question], MATCH(1, (TBL_Q_11_IntSV_All[[#This Row],[Q_No]]=TBL_ADD_04_Qs_All[Q.])*("Question"=TBL_ADD_04_Qs_All[Type])*("IntSV"=TBL_ADD_04_Qs_All[Section]),0))="Not used", TBL_Q_11_IntSV_All[[#This Row],[Question]]="Not used
"), "Shade", ""))</f>
        <v>Shade</v>
      </c>
    </row>
    <row r="39" spans="1:6" s="119" customFormat="1" ht="25" hidden="1">
      <c r="A39" s="479" t="str">
        <f>IF(TBL_Q_11_IntSV_All[[#This Row],[Sub_No]]="N/A", TBL_Q_11_IntSV_All[[#This Row],[Q_No]], CONCATENATE(TBL_Q_11_IntSV_All[[#This Row],[Q_No]], TBL_Q_11_IntSV_All[[#This Row],[Sub_No]]))</f>
        <v>Q5.3.3</v>
      </c>
      <c r="B39" s="120" t="str">
        <f t="array" ref="B39">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39" s="487" t="s">
        <v>332</v>
      </c>
      <c r="D39" s="474" t="s">
        <v>1325</v>
      </c>
      <c r="E39" s="475" t="s">
        <v>569</v>
      </c>
      <c r="F39" s="476" t="str">
        <f t="array" ref="F39">IF($E$4="No", "Shade", IF(OR(INDEX(TBL_ADD_04_Qs_All[Question / Sub-question], MATCH(1, (TBL_Q_11_IntSV_All[[#This Row],[Q_No]]=TBL_ADD_04_Qs_All[Q.])*("Question"=TBL_ADD_04_Qs_All[Type])*("IntSV"=TBL_ADD_04_Qs_All[Section]),0))="Not used", TBL_Q_11_IntSV_All[[#This Row],[Question]]="Not used
"), "Shade", ""))</f>
        <v>Shade</v>
      </c>
    </row>
    <row r="40" spans="1:6" s="119" customFormat="1" ht="25" hidden="1">
      <c r="A40" s="479" t="str">
        <f>IF(TBL_Q_11_IntSV_All[[#This Row],[Sub_No]]="N/A", TBL_Q_11_IntSV_All[[#This Row],[Q_No]], CONCATENATE(TBL_Q_11_IntSV_All[[#This Row],[Q_No]], TBL_Q_11_IntSV_All[[#This Row],[Sub_No]]))</f>
        <v>Q5.3.4</v>
      </c>
      <c r="B40" s="120" t="str">
        <f t="array" ref="B40">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0" s="487" t="s">
        <v>332</v>
      </c>
      <c r="D40" s="474" t="s">
        <v>1325</v>
      </c>
      <c r="E40" s="475" t="s">
        <v>570</v>
      </c>
      <c r="F40" s="476" t="str">
        <f t="array" ref="F40">IF($E$4="No", "Shade", IF(OR(INDEX(TBL_ADD_04_Qs_All[Question / Sub-question], MATCH(1, (TBL_Q_11_IntSV_All[[#This Row],[Q_No]]=TBL_ADD_04_Qs_All[Q.])*("Question"=TBL_ADD_04_Qs_All[Type])*("IntSV"=TBL_ADD_04_Qs_All[Section]),0))="Not used", TBL_Q_11_IntSV_All[[#This Row],[Question]]="Not used
"), "Shade", ""))</f>
        <v>Shade</v>
      </c>
    </row>
    <row r="41" spans="1:6" s="119" customFormat="1" ht="25" hidden="1">
      <c r="A41" s="479" t="str">
        <f>IF(TBL_Q_11_IntSV_All[[#This Row],[Sub_No]]="N/A", TBL_Q_11_IntSV_All[[#This Row],[Q_No]], CONCATENATE(TBL_Q_11_IntSV_All[[#This Row],[Q_No]], TBL_Q_11_IntSV_All[[#This Row],[Sub_No]]))</f>
        <v>Q5.3.5</v>
      </c>
      <c r="B41" s="120" t="str">
        <f t="array" ref="B41">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1" s="487" t="s">
        <v>332</v>
      </c>
      <c r="D41" s="474" t="s">
        <v>1325</v>
      </c>
      <c r="E41" s="475" t="s">
        <v>571</v>
      </c>
      <c r="F41" s="476" t="str">
        <f t="array" ref="F41">IF($E$4="No", "Shade", IF(OR(INDEX(TBL_ADD_04_Qs_All[Question / Sub-question], MATCH(1, (TBL_Q_11_IntSV_All[[#This Row],[Q_No]]=TBL_ADD_04_Qs_All[Q.])*("Question"=TBL_ADD_04_Qs_All[Type])*("IntSV"=TBL_ADD_04_Qs_All[Section]),0))="Not used", TBL_Q_11_IntSV_All[[#This Row],[Question]]="Not used
"), "Shade", ""))</f>
        <v>Shade</v>
      </c>
    </row>
    <row r="42" spans="1:6" s="119" customFormat="1" ht="25" hidden="1">
      <c r="A42" s="479" t="str">
        <f>IF(TBL_Q_11_IntSV_All[[#This Row],[Sub_No]]="N/A", TBL_Q_11_IntSV_All[[#This Row],[Q_No]], CONCATENATE(TBL_Q_11_IntSV_All[[#This Row],[Q_No]], TBL_Q_11_IntSV_All[[#This Row],[Sub_No]]))</f>
        <v>Q5.3.6</v>
      </c>
      <c r="B42" s="120" t="str">
        <f t="array" ref="B42">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2" s="487" t="s">
        <v>332</v>
      </c>
      <c r="D42" s="474" t="s">
        <v>1325</v>
      </c>
      <c r="E42" s="475" t="s">
        <v>573</v>
      </c>
      <c r="F42" s="476" t="str">
        <f t="array" ref="F42">IF($E$4="No", "Shade", IF(OR(INDEX(TBL_ADD_04_Qs_All[Question / Sub-question], MATCH(1, (TBL_Q_11_IntSV_All[[#This Row],[Q_No]]=TBL_ADD_04_Qs_All[Q.])*("Question"=TBL_ADD_04_Qs_All[Type])*("IntSV"=TBL_ADD_04_Qs_All[Section]),0))="Not used", TBL_Q_11_IntSV_All[[#This Row],[Question]]="Not used
"), "Shade", ""))</f>
        <v>Shade</v>
      </c>
    </row>
    <row r="43" spans="1:6" s="119" customFormat="1" ht="25" hidden="1">
      <c r="A43" s="479" t="str">
        <f>IF(TBL_Q_11_IntSV_All[[#This Row],[Sub_No]]="N/A", TBL_Q_11_IntSV_All[[#This Row],[Q_No]], CONCATENATE(TBL_Q_11_IntSV_All[[#This Row],[Q_No]], TBL_Q_11_IntSV_All[[#This Row],[Sub_No]]))</f>
        <v>Q5.3.7</v>
      </c>
      <c r="B43" s="120" t="str">
        <f t="array" ref="B43">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3" s="487" t="s">
        <v>332</v>
      </c>
      <c r="D43" s="474" t="s">
        <v>1325</v>
      </c>
      <c r="E43" s="475" t="s">
        <v>574</v>
      </c>
      <c r="F43" s="476" t="str">
        <f t="array" ref="F43">IF($E$4="No", "Shade", IF(OR(INDEX(TBL_ADD_04_Qs_All[Question / Sub-question], MATCH(1, (TBL_Q_11_IntSV_All[[#This Row],[Q_No]]=TBL_ADD_04_Qs_All[Q.])*("Question"=TBL_ADD_04_Qs_All[Type])*("IntSV"=TBL_ADD_04_Qs_All[Section]),0))="Not used", TBL_Q_11_IntSV_All[[#This Row],[Question]]="Not used
"), "Shade", ""))</f>
        <v>Shade</v>
      </c>
    </row>
    <row r="44" spans="1:6" s="119" customFormat="1" ht="25" hidden="1">
      <c r="A44" s="479" t="str">
        <f>IF(TBL_Q_11_IntSV_All[[#This Row],[Sub_No]]="N/A", TBL_Q_11_IntSV_All[[#This Row],[Q_No]], CONCATENATE(TBL_Q_11_IntSV_All[[#This Row],[Q_No]], TBL_Q_11_IntSV_All[[#This Row],[Sub_No]]))</f>
        <v>Q5.3.8</v>
      </c>
      <c r="B44" s="120" t="str">
        <f t="array" ref="B44">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4" s="487" t="s">
        <v>332</v>
      </c>
      <c r="D44" s="474" t="s">
        <v>1325</v>
      </c>
      <c r="E44" s="475" t="s">
        <v>575</v>
      </c>
      <c r="F44" s="476" t="str">
        <f t="array" ref="F44">IF($E$4="No", "Shade", IF(OR(INDEX(TBL_ADD_04_Qs_All[Question / Sub-question], MATCH(1, (TBL_Q_11_IntSV_All[[#This Row],[Q_No]]=TBL_ADD_04_Qs_All[Q.])*("Question"=TBL_ADD_04_Qs_All[Type])*("IntSV"=TBL_ADD_04_Qs_All[Section]),0))="Not used", TBL_Q_11_IntSV_All[[#This Row],[Question]]="Not used
"), "Shade", ""))</f>
        <v>Shade</v>
      </c>
    </row>
    <row r="45" spans="1:6" s="119" customFormat="1" ht="25" hidden="1">
      <c r="A45" s="479" t="str">
        <f>IF(TBL_Q_11_IntSV_All[[#This Row],[Sub_No]]="N/A", TBL_Q_11_IntSV_All[[#This Row],[Q_No]], CONCATENATE(TBL_Q_11_IntSV_All[[#This Row],[Q_No]], TBL_Q_11_IntSV_All[[#This Row],[Sub_No]]))</f>
        <v>Q5.3.9</v>
      </c>
      <c r="B45" s="120" t="str">
        <f t="array" ref="B45">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5" s="487" t="s">
        <v>332</v>
      </c>
      <c r="D45" s="474" t="s">
        <v>1325</v>
      </c>
      <c r="E45" s="475" t="s">
        <v>576</v>
      </c>
      <c r="F45" s="476" t="str">
        <f t="array" ref="F45">IF($E$4="No", "Shade", IF(OR(INDEX(TBL_ADD_04_Qs_All[Question / Sub-question], MATCH(1, (TBL_Q_11_IntSV_All[[#This Row],[Q_No]]=TBL_ADD_04_Qs_All[Q.])*("Question"=TBL_ADD_04_Qs_All[Type])*("IntSV"=TBL_ADD_04_Qs_All[Section]),0))="Not used", TBL_Q_11_IntSV_All[[#This Row],[Question]]="Not used
"), "Shade", ""))</f>
        <v>Shade</v>
      </c>
    </row>
    <row r="46" spans="1:6" s="119" customFormat="1" ht="25" hidden="1">
      <c r="A46" s="481" t="str">
        <f>IF(TBL_Q_11_IntSV_All[[#This Row],[Sub_No]]="N/A", TBL_Q_11_IntSV_All[[#This Row],[Q_No]], CONCATENATE(TBL_Q_11_IntSV_All[[#This Row],[Q_No]], TBL_Q_11_IntSV_All[[#This Row],[Sub_No]]))</f>
        <v>Q5.3.10</v>
      </c>
      <c r="B46" s="482" t="str">
        <f t="array" ref="B46">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6" s="487" t="s">
        <v>332</v>
      </c>
      <c r="D46" s="474" t="s">
        <v>1325</v>
      </c>
      <c r="E46" s="475" t="s">
        <v>577</v>
      </c>
      <c r="F46" s="476" t="str">
        <f t="array" ref="F46">IF($E$4="No", "Shade", IF(OR(INDEX(TBL_ADD_04_Qs_All[Question / Sub-question], MATCH(1, (TBL_Q_11_IntSV_All[[#This Row],[Q_No]]=TBL_ADD_04_Qs_All[Q.])*("Question"=TBL_ADD_04_Qs_All[Type])*("IntSV"=TBL_ADD_04_Qs_All[Section]),0))="Not used", TBL_Q_11_IntSV_All[[#This Row],[Question]]="Not used
"), "Shade", ""))</f>
        <v>Shade</v>
      </c>
    </row>
    <row r="47" spans="1:6" s="119" customFormat="1" ht="26" hidden="1">
      <c r="A47" s="71" t="str">
        <f>IF(TBL_Q_11_IntSV_All[[#This Row],[Sub_No]]="N/A", TBL_Q_11_IntSV_All[[#This Row],[Q_No]], CONCATENATE(TBL_Q_11_IntSV_All[[#This Row],[Q_No]], TBL_Q_11_IntSV_All[[#This Row],[Sub_No]]))</f>
        <v>Q5.4</v>
      </c>
      <c r="B47" s="73" t="str">
        <f t="array" ref="B47">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7" s="487" t="s">
        <v>146</v>
      </c>
      <c r="D47" s="474" t="s">
        <v>1326</v>
      </c>
      <c r="E47" s="475" t="s">
        <v>24</v>
      </c>
      <c r="F47" s="476" t="str">
        <f t="array" ref="F47">IF($E$4="No", "Shade", IF(OR(INDEX(TBL_ADD_04_Qs_All[Question / Sub-question], MATCH(1, (TBL_Q_11_IntSV_All[[#This Row],[Q_No]]=TBL_ADD_04_Qs_All[Q.])*("Question"=TBL_ADD_04_Qs_All[Type])*("IntSV"=TBL_ADD_04_Qs_All[Section]),0))="Not used", TBL_Q_11_IntSV_All[[#This Row],[Question]]="Not used
"), "Shade", ""))</f>
        <v>Shade</v>
      </c>
    </row>
    <row r="48" spans="1:6" s="119" customFormat="1" ht="26" hidden="1">
      <c r="A48" s="477" t="str">
        <f>IF(TBL_Q_11_IntSV_All[[#This Row],[Sub_No]]="N/A", TBL_Q_11_IntSV_All[[#This Row],[Q_No]], CONCATENATE(TBL_Q_11_IntSV_All[[#This Row],[Q_No]], TBL_Q_11_IntSV_All[[#This Row],[Sub_No]]))</f>
        <v>Q5.4</v>
      </c>
      <c r="B48" s="120" t="str">
        <f t="array" ref="B48">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8" s="487" t="s">
        <v>348</v>
      </c>
      <c r="D48" s="474" t="s">
        <v>1326</v>
      </c>
      <c r="E48" s="475" t="s">
        <v>24</v>
      </c>
      <c r="F48" s="476" t="str">
        <f t="array" ref="F48">IF($E$4="No", "Shade", IF(OR(INDEX(TBL_ADD_04_Qs_All[Question / Sub-question], MATCH(1, (TBL_Q_11_IntSV_All[[#This Row],[Q_No]]=TBL_ADD_04_Qs_All[Q.])*("Question"=TBL_ADD_04_Qs_All[Type])*("IntSV"=TBL_ADD_04_Qs_All[Section]),0))="Not used", TBL_Q_11_IntSV_All[[#This Row],[Question]]="Not used
"), "Shade", ""))</f>
        <v>Shade</v>
      </c>
    </row>
    <row r="49" spans="1:12" s="119" customFormat="1" ht="25" hidden="1">
      <c r="A49" s="479" t="str">
        <f>IF(TBL_Q_11_IntSV_All[[#This Row],[Sub_No]]="N/A", TBL_Q_11_IntSV_All[[#This Row],[Q_No]], CONCATENATE(TBL_Q_11_IntSV_All[[#This Row],[Q_No]], TBL_Q_11_IntSV_All[[#This Row],[Sub_No]]))</f>
        <v>Q5.4.1</v>
      </c>
      <c r="B49" s="120" t="str">
        <f t="array" ref="B49">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49" s="487" t="s">
        <v>332</v>
      </c>
      <c r="D49" s="474" t="s">
        <v>1326</v>
      </c>
      <c r="E49" s="475" t="s">
        <v>568</v>
      </c>
      <c r="F49" s="476" t="str">
        <f t="array" ref="F49">IF($E$4="No", "Shade", IF(OR(INDEX(TBL_ADD_04_Qs_All[Question / Sub-question], MATCH(1, (TBL_Q_11_IntSV_All[[#This Row],[Q_No]]=TBL_ADD_04_Qs_All[Q.])*("Question"=TBL_ADD_04_Qs_All[Type])*("IntSV"=TBL_ADD_04_Qs_All[Section]),0))="Not used", TBL_Q_11_IntSV_All[[#This Row],[Question]]="Not used
"), "Shade", ""))</f>
        <v>Shade</v>
      </c>
    </row>
    <row r="50" spans="1:12" s="119" customFormat="1" ht="25" hidden="1">
      <c r="A50" s="479" t="str">
        <f>IF(TBL_Q_11_IntSV_All[[#This Row],[Sub_No]]="N/A", TBL_Q_11_IntSV_All[[#This Row],[Q_No]], CONCATENATE(TBL_Q_11_IntSV_All[[#This Row],[Q_No]], TBL_Q_11_IntSV_All[[#This Row],[Sub_No]]))</f>
        <v>Q5.4.2</v>
      </c>
      <c r="B50" s="120" t="str">
        <f t="array" ref="B50">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0" s="487" t="s">
        <v>332</v>
      </c>
      <c r="D50" s="474" t="s">
        <v>1326</v>
      </c>
      <c r="E50" s="475" t="s">
        <v>572</v>
      </c>
      <c r="F50" s="476" t="str">
        <f t="array" ref="F50">IF($E$4="No", "Shade", IF(OR(INDEX(TBL_ADD_04_Qs_All[Question / Sub-question], MATCH(1, (TBL_Q_11_IntSV_All[[#This Row],[Q_No]]=TBL_ADD_04_Qs_All[Q.])*("Question"=TBL_ADD_04_Qs_All[Type])*("IntSV"=TBL_ADD_04_Qs_All[Section]),0))="Not used", TBL_Q_11_IntSV_All[[#This Row],[Question]]="Not used
"), "Shade", ""))</f>
        <v>Shade</v>
      </c>
    </row>
    <row r="51" spans="1:12" s="119" customFormat="1" ht="25" hidden="1">
      <c r="A51" s="479" t="str">
        <f>IF(TBL_Q_11_IntSV_All[[#This Row],[Sub_No]]="N/A", TBL_Q_11_IntSV_All[[#This Row],[Q_No]], CONCATENATE(TBL_Q_11_IntSV_All[[#This Row],[Q_No]], TBL_Q_11_IntSV_All[[#This Row],[Sub_No]]))</f>
        <v>Q5.4.3</v>
      </c>
      <c r="B51" s="120" t="str">
        <f t="array" ref="B51">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1" s="487" t="s">
        <v>332</v>
      </c>
      <c r="D51" s="474" t="s">
        <v>1326</v>
      </c>
      <c r="E51" s="475" t="s">
        <v>569</v>
      </c>
      <c r="F51" s="476" t="str">
        <f t="array" ref="F51">IF($E$4="No", "Shade", IF(OR(INDEX(TBL_ADD_04_Qs_All[Question / Sub-question], MATCH(1, (TBL_Q_11_IntSV_All[[#This Row],[Q_No]]=TBL_ADD_04_Qs_All[Q.])*("Question"=TBL_ADD_04_Qs_All[Type])*("IntSV"=TBL_ADD_04_Qs_All[Section]),0))="Not used", TBL_Q_11_IntSV_All[[#This Row],[Question]]="Not used
"), "Shade", ""))</f>
        <v>Shade</v>
      </c>
    </row>
    <row r="52" spans="1:12" s="119" customFormat="1" ht="25" hidden="1">
      <c r="A52" s="479" t="str">
        <f>IF(TBL_Q_11_IntSV_All[[#This Row],[Sub_No]]="N/A", TBL_Q_11_IntSV_All[[#This Row],[Q_No]], CONCATENATE(TBL_Q_11_IntSV_All[[#This Row],[Q_No]], TBL_Q_11_IntSV_All[[#This Row],[Sub_No]]))</f>
        <v>Q5.4.4</v>
      </c>
      <c r="B52" s="120" t="str">
        <f t="array" ref="B52">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2" s="487" t="s">
        <v>332</v>
      </c>
      <c r="D52" s="474" t="s">
        <v>1326</v>
      </c>
      <c r="E52" s="475" t="s">
        <v>570</v>
      </c>
      <c r="F52" s="476" t="str">
        <f t="array" ref="F52">IF($E$4="No", "Shade", IF(OR(INDEX(TBL_ADD_04_Qs_All[Question / Sub-question], MATCH(1, (TBL_Q_11_IntSV_All[[#This Row],[Q_No]]=TBL_ADD_04_Qs_All[Q.])*("Question"=TBL_ADD_04_Qs_All[Type])*("IntSV"=TBL_ADD_04_Qs_All[Section]),0))="Not used", TBL_Q_11_IntSV_All[[#This Row],[Question]]="Not used
"), "Shade", ""))</f>
        <v>Shade</v>
      </c>
    </row>
    <row r="53" spans="1:12" s="119" customFormat="1" ht="25" hidden="1">
      <c r="A53" s="479" t="str">
        <f>IF(TBL_Q_11_IntSV_All[[#This Row],[Sub_No]]="N/A", TBL_Q_11_IntSV_All[[#This Row],[Q_No]], CONCATENATE(TBL_Q_11_IntSV_All[[#This Row],[Q_No]], TBL_Q_11_IntSV_All[[#This Row],[Sub_No]]))</f>
        <v>Q5.4.5</v>
      </c>
      <c r="B53" s="120" t="str">
        <f t="array" ref="B53">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3" s="487" t="s">
        <v>332</v>
      </c>
      <c r="D53" s="474" t="s">
        <v>1326</v>
      </c>
      <c r="E53" s="475" t="s">
        <v>571</v>
      </c>
      <c r="F53" s="476" t="str">
        <f t="array" ref="F53">IF($E$4="No", "Shade", IF(OR(INDEX(TBL_ADD_04_Qs_All[Question / Sub-question], MATCH(1, (TBL_Q_11_IntSV_All[[#This Row],[Q_No]]=TBL_ADD_04_Qs_All[Q.])*("Question"=TBL_ADD_04_Qs_All[Type])*("IntSV"=TBL_ADD_04_Qs_All[Section]),0))="Not used", TBL_Q_11_IntSV_All[[#This Row],[Question]]="Not used
"), "Shade", ""))</f>
        <v>Shade</v>
      </c>
    </row>
    <row r="54" spans="1:12" s="119" customFormat="1" ht="25" hidden="1">
      <c r="A54" s="479" t="str">
        <f>IF(TBL_Q_11_IntSV_All[[#This Row],[Sub_No]]="N/A", TBL_Q_11_IntSV_All[[#This Row],[Q_No]], CONCATENATE(TBL_Q_11_IntSV_All[[#This Row],[Q_No]], TBL_Q_11_IntSV_All[[#This Row],[Sub_No]]))</f>
        <v>Q5.4.6</v>
      </c>
      <c r="B54" s="120" t="str">
        <f t="array" ref="B54">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4" s="487" t="s">
        <v>332</v>
      </c>
      <c r="D54" s="474" t="s">
        <v>1326</v>
      </c>
      <c r="E54" s="475" t="s">
        <v>573</v>
      </c>
      <c r="F54" s="476" t="str">
        <f t="array" ref="F54">IF($E$4="No", "Shade", IF(OR(INDEX(TBL_ADD_04_Qs_All[Question / Sub-question], MATCH(1, (TBL_Q_11_IntSV_All[[#This Row],[Q_No]]=TBL_ADD_04_Qs_All[Q.])*("Question"=TBL_ADD_04_Qs_All[Type])*("IntSV"=TBL_ADD_04_Qs_All[Section]),0))="Not used", TBL_Q_11_IntSV_All[[#This Row],[Question]]="Not used
"), "Shade", ""))</f>
        <v>Shade</v>
      </c>
    </row>
    <row r="55" spans="1:12" s="119" customFormat="1" ht="25" hidden="1">
      <c r="A55" s="479" t="str">
        <f>IF(TBL_Q_11_IntSV_All[[#This Row],[Sub_No]]="N/A", TBL_Q_11_IntSV_All[[#This Row],[Q_No]], CONCATENATE(TBL_Q_11_IntSV_All[[#This Row],[Q_No]], TBL_Q_11_IntSV_All[[#This Row],[Sub_No]]))</f>
        <v>Q5.4.7</v>
      </c>
      <c r="B55" s="120" t="str">
        <f t="array" ref="B55">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5" s="487" t="s">
        <v>332</v>
      </c>
      <c r="D55" s="474" t="s">
        <v>1326</v>
      </c>
      <c r="E55" s="475" t="s">
        <v>574</v>
      </c>
      <c r="F55" s="476" t="str">
        <f t="array" ref="F55">IF($E$4="No", "Shade", IF(OR(INDEX(TBL_ADD_04_Qs_All[Question / Sub-question], MATCH(1, (TBL_Q_11_IntSV_All[[#This Row],[Q_No]]=TBL_ADD_04_Qs_All[Q.])*("Question"=TBL_ADD_04_Qs_All[Type])*("IntSV"=TBL_ADD_04_Qs_All[Section]),0))="Not used", TBL_Q_11_IntSV_All[[#This Row],[Question]]="Not used
"), "Shade", ""))</f>
        <v>Shade</v>
      </c>
    </row>
    <row r="56" spans="1:12" s="119" customFormat="1" ht="25" hidden="1">
      <c r="A56" s="479" t="str">
        <f>IF(TBL_Q_11_IntSV_All[[#This Row],[Sub_No]]="N/A", TBL_Q_11_IntSV_All[[#This Row],[Q_No]], CONCATENATE(TBL_Q_11_IntSV_All[[#This Row],[Q_No]], TBL_Q_11_IntSV_All[[#This Row],[Sub_No]]))</f>
        <v>Q5.4.8</v>
      </c>
      <c r="B56" s="120" t="str">
        <f t="array" ref="B56">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6" s="487" t="s">
        <v>332</v>
      </c>
      <c r="D56" s="474" t="s">
        <v>1326</v>
      </c>
      <c r="E56" s="475" t="s">
        <v>575</v>
      </c>
      <c r="F56" s="476" t="str">
        <f t="array" ref="F56">IF($E$4="No", "Shade", IF(OR(INDEX(TBL_ADD_04_Qs_All[Question / Sub-question], MATCH(1, (TBL_Q_11_IntSV_All[[#This Row],[Q_No]]=TBL_ADD_04_Qs_All[Q.])*("Question"=TBL_ADD_04_Qs_All[Type])*("IntSV"=TBL_ADD_04_Qs_All[Section]),0))="Not used", TBL_Q_11_IntSV_All[[#This Row],[Question]]="Not used
"), "Shade", ""))</f>
        <v>Shade</v>
      </c>
    </row>
    <row r="57" spans="1:12" s="119" customFormat="1" ht="25" hidden="1">
      <c r="A57" s="479" t="str">
        <f>IF(TBL_Q_11_IntSV_All[[#This Row],[Sub_No]]="N/A", TBL_Q_11_IntSV_All[[#This Row],[Q_No]], CONCATENATE(TBL_Q_11_IntSV_All[[#This Row],[Q_No]], TBL_Q_11_IntSV_All[[#This Row],[Sub_No]]))</f>
        <v>Q5.4.9</v>
      </c>
      <c r="B57" s="120" t="str">
        <f t="array" ref="B57">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7" s="487" t="s">
        <v>332</v>
      </c>
      <c r="D57" s="474" t="s">
        <v>1326</v>
      </c>
      <c r="E57" s="475" t="s">
        <v>576</v>
      </c>
      <c r="F57" s="476" t="str">
        <f t="array" ref="F57">IF($E$4="No", "Shade", IF(OR(INDEX(TBL_ADD_04_Qs_All[Question / Sub-question], MATCH(1, (TBL_Q_11_IntSV_All[[#This Row],[Q_No]]=TBL_ADD_04_Qs_All[Q.])*("Question"=TBL_ADD_04_Qs_All[Type])*("IntSV"=TBL_ADD_04_Qs_All[Section]),0))="Not used", TBL_Q_11_IntSV_All[[#This Row],[Question]]="Not used
"), "Shade", ""))</f>
        <v>Shade</v>
      </c>
    </row>
    <row r="58" spans="1:12" s="119" customFormat="1" ht="25" hidden="1">
      <c r="A58" s="481" t="str">
        <f>IF(TBL_Q_11_IntSV_All[[#This Row],[Sub_No]]="N/A", TBL_Q_11_IntSV_All[[#This Row],[Q_No]], CONCATENATE(TBL_Q_11_IntSV_All[[#This Row],[Q_No]], TBL_Q_11_IntSV_All[[#This Row],[Sub_No]]))</f>
        <v>Q5.4.10</v>
      </c>
      <c r="B58" s="482" t="str">
        <f t="array" ref="B58">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8" s="487" t="s">
        <v>332</v>
      </c>
      <c r="D58" s="474" t="s">
        <v>1326</v>
      </c>
      <c r="E58" s="475" t="s">
        <v>577</v>
      </c>
      <c r="F58" s="476" t="str">
        <f t="array" ref="F58">IF($E$4="No", "Shade", IF(OR(INDEX(TBL_ADD_04_Qs_All[Question / Sub-question], MATCH(1, (TBL_Q_11_IntSV_All[[#This Row],[Q_No]]=TBL_ADD_04_Qs_All[Q.])*("Question"=TBL_ADD_04_Qs_All[Type])*("IntSV"=TBL_ADD_04_Qs_All[Section]),0))="Not used", TBL_Q_11_IntSV_All[[#This Row],[Question]]="Not used
"), "Shade", ""))</f>
        <v>Shade</v>
      </c>
    </row>
    <row r="59" spans="1:12" ht="26" hidden="1">
      <c r="A59" s="71" t="str">
        <f>IF(TBL_Q_11_IntSV_All[[#This Row],[Sub_No]]="N/A", TBL_Q_11_IntSV_All[[#This Row],[Q_No]], CONCATENATE(TBL_Q_11_IntSV_All[[#This Row],[Q_No]], TBL_Q_11_IntSV_All[[#This Row],[Sub_No]]))</f>
        <v>Q5.5</v>
      </c>
      <c r="B59" s="73" t="str">
        <f t="array" ref="B59">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59" s="487" t="s">
        <v>146</v>
      </c>
      <c r="D59" s="474" t="s">
        <v>1327</v>
      </c>
      <c r="E59" s="475" t="s">
        <v>24</v>
      </c>
      <c r="F59" s="476" t="str">
        <f t="array" ref="F59">IF($E$4="No", "Shade", IF(OR(INDEX(TBL_ADD_04_Qs_All[Question / Sub-question], MATCH(1, (TBL_Q_11_IntSV_All[[#This Row],[Q_No]]=TBL_ADD_04_Qs_All[Q.])*("Question"=TBL_ADD_04_Qs_All[Type])*("IntSV"=TBL_ADD_04_Qs_All[Section]),0))="Not used", TBL_Q_11_IntSV_All[[#This Row],[Question]]="Not used
"), "Shade", ""))</f>
        <v>Shade</v>
      </c>
      <c r="G59" s="119"/>
      <c r="H59" s="119"/>
      <c r="I59" s="1"/>
      <c r="J59" s="119"/>
      <c r="K59" s="119"/>
      <c r="L59" s="119"/>
    </row>
    <row r="60" spans="1:12" ht="26" hidden="1">
      <c r="A60" s="477" t="str">
        <f>IF(TBL_Q_11_IntSV_All[[#This Row],[Sub_No]]="N/A", TBL_Q_11_IntSV_All[[#This Row],[Q_No]], CONCATENATE(TBL_Q_11_IntSV_All[[#This Row],[Q_No]], TBL_Q_11_IntSV_All[[#This Row],[Sub_No]]))</f>
        <v>Q5.5</v>
      </c>
      <c r="B60" s="120" t="str">
        <f t="array" ref="B60">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0" s="487" t="s">
        <v>348</v>
      </c>
      <c r="D60" s="474" t="s">
        <v>1327</v>
      </c>
      <c r="E60" s="475" t="s">
        <v>24</v>
      </c>
      <c r="F60" s="476" t="str">
        <f t="array" ref="F60">IF($E$4="No", "Shade", IF(OR(INDEX(TBL_ADD_04_Qs_All[Question / Sub-question], MATCH(1, (TBL_Q_11_IntSV_All[[#This Row],[Q_No]]=TBL_ADD_04_Qs_All[Q.])*("Question"=TBL_ADD_04_Qs_All[Type])*("IntSV"=TBL_ADD_04_Qs_All[Section]),0))="Not used", TBL_Q_11_IntSV_All[[#This Row],[Question]]="Not used
"), "Shade", ""))</f>
        <v>Shade</v>
      </c>
      <c r="G60" s="119"/>
      <c r="H60" s="119"/>
      <c r="I60" s="1"/>
      <c r="J60" s="119"/>
      <c r="K60" s="119"/>
      <c r="L60" s="119"/>
    </row>
    <row r="61" spans="1:12" ht="25" hidden="1">
      <c r="A61" s="479" t="str">
        <f>IF(TBL_Q_11_IntSV_All[[#This Row],[Sub_No]]="N/A", TBL_Q_11_IntSV_All[[#This Row],[Q_No]], CONCATENATE(TBL_Q_11_IntSV_All[[#This Row],[Q_No]], TBL_Q_11_IntSV_All[[#This Row],[Sub_No]]))</f>
        <v>Q5.5.1</v>
      </c>
      <c r="B61" s="120" t="str">
        <f t="array" ref="B61">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1" s="487" t="s">
        <v>332</v>
      </c>
      <c r="D61" s="474" t="s">
        <v>1327</v>
      </c>
      <c r="E61" s="475" t="s">
        <v>568</v>
      </c>
      <c r="F61" s="476" t="str">
        <f t="array" ref="F61">IF($E$4="No", "Shade", IF(OR(INDEX(TBL_ADD_04_Qs_All[Question / Sub-question], MATCH(1, (TBL_Q_11_IntSV_All[[#This Row],[Q_No]]=TBL_ADD_04_Qs_All[Q.])*("Question"=TBL_ADD_04_Qs_All[Type])*("IntSV"=TBL_ADD_04_Qs_All[Section]),0))="Not used", TBL_Q_11_IntSV_All[[#This Row],[Question]]="Not used
"), "Shade", ""))</f>
        <v>Shade</v>
      </c>
      <c r="G61" s="119"/>
      <c r="H61" s="119"/>
      <c r="I61" s="1"/>
      <c r="J61" s="119"/>
      <c r="K61" s="119"/>
      <c r="L61" s="119"/>
    </row>
    <row r="62" spans="1:12" ht="25" hidden="1">
      <c r="A62" s="479" t="str">
        <f>IF(TBL_Q_11_IntSV_All[[#This Row],[Sub_No]]="N/A", TBL_Q_11_IntSV_All[[#This Row],[Q_No]], CONCATENATE(TBL_Q_11_IntSV_All[[#This Row],[Q_No]], TBL_Q_11_IntSV_All[[#This Row],[Sub_No]]))</f>
        <v>Q5.5.2</v>
      </c>
      <c r="B62" s="120" t="str">
        <f t="array" ref="B62">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2" s="487" t="s">
        <v>332</v>
      </c>
      <c r="D62" s="474" t="s">
        <v>1327</v>
      </c>
      <c r="E62" s="475" t="s">
        <v>572</v>
      </c>
      <c r="F62" s="476" t="str">
        <f t="array" ref="F62">IF($E$4="No", "Shade", IF(OR(INDEX(TBL_ADD_04_Qs_All[Question / Sub-question], MATCH(1, (TBL_Q_11_IntSV_All[[#This Row],[Q_No]]=TBL_ADD_04_Qs_All[Q.])*("Question"=TBL_ADD_04_Qs_All[Type])*("IntSV"=TBL_ADD_04_Qs_All[Section]),0))="Not used", TBL_Q_11_IntSV_All[[#This Row],[Question]]="Not used
"), "Shade", ""))</f>
        <v>Shade</v>
      </c>
      <c r="G62" s="119"/>
      <c r="H62" s="119"/>
      <c r="I62" s="1"/>
      <c r="J62" s="119"/>
      <c r="K62" s="119"/>
      <c r="L62" s="119"/>
    </row>
    <row r="63" spans="1:12" ht="25" hidden="1">
      <c r="A63" s="479" t="str">
        <f>IF(TBL_Q_11_IntSV_All[[#This Row],[Sub_No]]="N/A", TBL_Q_11_IntSV_All[[#This Row],[Q_No]], CONCATENATE(TBL_Q_11_IntSV_All[[#This Row],[Q_No]], TBL_Q_11_IntSV_All[[#This Row],[Sub_No]]))</f>
        <v>Q5.5.3</v>
      </c>
      <c r="B63" s="120" t="str">
        <f t="array" ref="B63">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3" s="487" t="s">
        <v>332</v>
      </c>
      <c r="D63" s="474" t="s">
        <v>1327</v>
      </c>
      <c r="E63" s="475" t="s">
        <v>569</v>
      </c>
      <c r="F63" s="476" t="str">
        <f t="array" ref="F63">IF($E$4="No", "Shade", IF(OR(INDEX(TBL_ADD_04_Qs_All[Question / Sub-question], MATCH(1, (TBL_Q_11_IntSV_All[[#This Row],[Q_No]]=TBL_ADD_04_Qs_All[Q.])*("Question"=TBL_ADD_04_Qs_All[Type])*("IntSV"=TBL_ADD_04_Qs_All[Section]),0))="Not used", TBL_Q_11_IntSV_All[[#This Row],[Question]]="Not used
"), "Shade", ""))</f>
        <v>Shade</v>
      </c>
      <c r="G63" s="119"/>
      <c r="H63" s="119"/>
      <c r="I63" s="1"/>
      <c r="J63" s="119"/>
      <c r="K63" s="119"/>
      <c r="L63" s="119"/>
    </row>
    <row r="64" spans="1:12" ht="25" hidden="1">
      <c r="A64" s="479" t="str">
        <f>IF(TBL_Q_11_IntSV_All[[#This Row],[Sub_No]]="N/A", TBL_Q_11_IntSV_All[[#This Row],[Q_No]], CONCATENATE(TBL_Q_11_IntSV_All[[#This Row],[Q_No]], TBL_Q_11_IntSV_All[[#This Row],[Sub_No]]))</f>
        <v>Q5.5.4</v>
      </c>
      <c r="B64" s="120" t="str">
        <f t="array" ref="B64">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4" s="487" t="s">
        <v>332</v>
      </c>
      <c r="D64" s="474" t="s">
        <v>1327</v>
      </c>
      <c r="E64" s="475" t="s">
        <v>570</v>
      </c>
      <c r="F64" s="476" t="str">
        <f t="array" ref="F64">IF($E$4="No", "Shade", IF(OR(INDEX(TBL_ADD_04_Qs_All[Question / Sub-question], MATCH(1, (TBL_Q_11_IntSV_All[[#This Row],[Q_No]]=TBL_ADD_04_Qs_All[Q.])*("Question"=TBL_ADD_04_Qs_All[Type])*("IntSV"=TBL_ADD_04_Qs_All[Section]),0))="Not used", TBL_Q_11_IntSV_All[[#This Row],[Question]]="Not used
"), "Shade", ""))</f>
        <v>Shade</v>
      </c>
      <c r="G64" s="119"/>
      <c r="H64" s="119"/>
      <c r="I64" s="1"/>
      <c r="J64" s="119"/>
      <c r="K64" s="119"/>
      <c r="L64" s="119"/>
    </row>
    <row r="65" spans="1:12" ht="25" hidden="1">
      <c r="A65" s="479" t="str">
        <f>IF(TBL_Q_11_IntSV_All[[#This Row],[Sub_No]]="N/A", TBL_Q_11_IntSV_All[[#This Row],[Q_No]], CONCATENATE(TBL_Q_11_IntSV_All[[#This Row],[Q_No]], TBL_Q_11_IntSV_All[[#This Row],[Sub_No]]))</f>
        <v>Q5.5.5</v>
      </c>
      <c r="B65" s="120" t="str">
        <f t="array" ref="B65">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5" s="487" t="s">
        <v>332</v>
      </c>
      <c r="D65" s="474" t="s">
        <v>1327</v>
      </c>
      <c r="E65" s="475" t="s">
        <v>571</v>
      </c>
      <c r="F65" s="476" t="str">
        <f t="array" ref="F65">IF($E$4="No", "Shade", IF(OR(INDEX(TBL_ADD_04_Qs_All[Question / Sub-question], MATCH(1, (TBL_Q_11_IntSV_All[[#This Row],[Q_No]]=TBL_ADD_04_Qs_All[Q.])*("Question"=TBL_ADD_04_Qs_All[Type])*("IntSV"=TBL_ADD_04_Qs_All[Section]),0))="Not used", TBL_Q_11_IntSV_All[[#This Row],[Question]]="Not used
"), "Shade", ""))</f>
        <v>Shade</v>
      </c>
      <c r="G65" s="119"/>
      <c r="H65" s="119"/>
      <c r="I65" s="1"/>
      <c r="J65" s="119"/>
      <c r="K65" s="119"/>
      <c r="L65" s="119"/>
    </row>
    <row r="66" spans="1:12" ht="25" hidden="1">
      <c r="A66" s="479" t="str">
        <f>IF(TBL_Q_11_IntSV_All[[#This Row],[Sub_No]]="N/A", TBL_Q_11_IntSV_All[[#This Row],[Q_No]], CONCATENATE(TBL_Q_11_IntSV_All[[#This Row],[Q_No]], TBL_Q_11_IntSV_All[[#This Row],[Sub_No]]))</f>
        <v>Q5.5.6</v>
      </c>
      <c r="B66" s="120" t="str">
        <f t="array" ref="B66">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6" s="487" t="s">
        <v>332</v>
      </c>
      <c r="D66" s="474" t="s">
        <v>1327</v>
      </c>
      <c r="E66" s="475" t="s">
        <v>573</v>
      </c>
      <c r="F66" s="476" t="str">
        <f t="array" ref="F66">IF($E$4="No", "Shade", IF(OR(INDEX(TBL_ADD_04_Qs_All[Question / Sub-question], MATCH(1, (TBL_Q_11_IntSV_All[[#This Row],[Q_No]]=TBL_ADD_04_Qs_All[Q.])*("Question"=TBL_ADD_04_Qs_All[Type])*("IntSV"=TBL_ADD_04_Qs_All[Section]),0))="Not used", TBL_Q_11_IntSV_All[[#This Row],[Question]]="Not used
"), "Shade", ""))</f>
        <v>Shade</v>
      </c>
      <c r="G66" s="119"/>
      <c r="I66" s="1"/>
    </row>
    <row r="67" spans="1:12" ht="25" hidden="1">
      <c r="A67" s="479" t="str">
        <f>IF(TBL_Q_11_IntSV_All[[#This Row],[Sub_No]]="N/A", TBL_Q_11_IntSV_All[[#This Row],[Q_No]], CONCATENATE(TBL_Q_11_IntSV_All[[#This Row],[Q_No]], TBL_Q_11_IntSV_All[[#This Row],[Sub_No]]))</f>
        <v>Q5.5.7</v>
      </c>
      <c r="B67" s="120" t="str">
        <f t="array" ref="B67">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7" s="487" t="s">
        <v>332</v>
      </c>
      <c r="D67" s="474" t="s">
        <v>1327</v>
      </c>
      <c r="E67" s="475" t="s">
        <v>574</v>
      </c>
      <c r="F67" s="476" t="str">
        <f t="array" ref="F67">IF($E$4="No", "Shade", IF(OR(INDEX(TBL_ADD_04_Qs_All[Question / Sub-question], MATCH(1, (TBL_Q_11_IntSV_All[[#This Row],[Q_No]]=TBL_ADD_04_Qs_All[Q.])*("Question"=TBL_ADD_04_Qs_All[Type])*("IntSV"=TBL_ADD_04_Qs_All[Section]),0))="Not used", TBL_Q_11_IntSV_All[[#This Row],[Question]]="Not used
"), "Shade", ""))</f>
        <v>Shade</v>
      </c>
      <c r="G67" s="119"/>
      <c r="I67" s="1"/>
    </row>
    <row r="68" spans="1:12" ht="25" hidden="1">
      <c r="A68" s="479" t="str">
        <f>IF(TBL_Q_11_IntSV_All[[#This Row],[Sub_No]]="N/A", TBL_Q_11_IntSV_All[[#This Row],[Q_No]], CONCATENATE(TBL_Q_11_IntSV_All[[#This Row],[Q_No]], TBL_Q_11_IntSV_All[[#This Row],[Sub_No]]))</f>
        <v>Q5.5.8</v>
      </c>
      <c r="B68" s="120" t="str">
        <f t="array" ref="B68">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8" s="487" t="s">
        <v>332</v>
      </c>
      <c r="D68" s="474" t="s">
        <v>1327</v>
      </c>
      <c r="E68" s="475" t="s">
        <v>575</v>
      </c>
      <c r="F68" s="476" t="str">
        <f t="array" ref="F68">IF($E$4="No", "Shade", IF(OR(INDEX(TBL_ADD_04_Qs_All[Question / Sub-question], MATCH(1, (TBL_Q_11_IntSV_All[[#This Row],[Q_No]]=TBL_ADD_04_Qs_All[Q.])*("Question"=TBL_ADD_04_Qs_All[Type])*("IntSV"=TBL_ADD_04_Qs_All[Section]),0))="Not used", TBL_Q_11_IntSV_All[[#This Row],[Question]]="Not used
"), "Shade", ""))</f>
        <v>Shade</v>
      </c>
      <c r="G68" s="119"/>
      <c r="I68" s="1"/>
    </row>
    <row r="69" spans="1:12" ht="25" hidden="1">
      <c r="A69" s="479" t="str">
        <f>IF(TBL_Q_11_IntSV_All[[#This Row],[Sub_No]]="N/A", TBL_Q_11_IntSV_All[[#This Row],[Q_No]], CONCATENATE(TBL_Q_11_IntSV_All[[#This Row],[Q_No]], TBL_Q_11_IntSV_All[[#This Row],[Sub_No]]))</f>
        <v>Q5.5.9</v>
      </c>
      <c r="B69" s="120" t="str">
        <f t="array" ref="B69">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69" s="487" t="s">
        <v>332</v>
      </c>
      <c r="D69" s="474" t="s">
        <v>1327</v>
      </c>
      <c r="E69" s="475" t="s">
        <v>576</v>
      </c>
      <c r="F69" s="476" t="str">
        <f t="array" ref="F69">IF($E$4="No", "Shade", IF(OR(INDEX(TBL_ADD_04_Qs_All[Question / Sub-question], MATCH(1, (TBL_Q_11_IntSV_All[[#This Row],[Q_No]]=TBL_ADD_04_Qs_All[Q.])*("Question"=TBL_ADD_04_Qs_All[Type])*("IntSV"=TBL_ADD_04_Qs_All[Section]),0))="Not used", TBL_Q_11_IntSV_All[[#This Row],[Question]]="Not used
"), "Shade", ""))</f>
        <v>Shade</v>
      </c>
      <c r="G69" s="119"/>
      <c r="I69" s="1"/>
    </row>
    <row r="70" spans="1:12" ht="25" hidden="1">
      <c r="A70" s="479" t="str">
        <f>IF(TBL_Q_11_IntSV_All[[#This Row],[Sub_No]]="N/A", TBL_Q_11_IntSV_All[[#This Row],[Q_No]], CONCATENATE(TBL_Q_11_IntSV_All[[#This Row],[Q_No]], TBL_Q_11_IntSV_All[[#This Row],[Sub_No]]))</f>
        <v>Q5.5.10</v>
      </c>
      <c r="B70" s="120" t="str">
        <f t="array" ref="B70">IF(OR(TBL_Q_11_IntSV_All[[#This Row],[Type]]="Question", TBL_Q_11_IntSV_All[[#This Row],[Type]]="Sub-question"), CONCATENATE(INDEX(TBL_ADD_04_Qs_All[Question / Sub-question], MATCH(1, (TBL_Q_11_IntSV_All[[#This Row],[Q. No.]]=TBL_ADD_04_Qs_All[Q.])*(TBL_Q_11_IntSV_All[[#This Row],[Type]]=TBL_ADD_04_Qs_All[Type])*("IntSV"=TBL_ADD_04_Qs_All[Section]),0)), "
"), IF(INDEX(TBL_ADD_04_Qs_All[Question / Sub-question], MATCH(1, (TBL_Q_11_IntSV_All[[#This Row],[Q_No]]=TBL_ADD_04_Qs_All[Q.])*("Question"=TBL_ADD_04_Qs_All[Type])*("IntSV"=TBL_ADD_04_Qs_All[Section]),0))="Not used", "Not used
", CONCATENATE(INDEX(TBL_ADD_04_Qs_All[Maximum marks available], MATCH(1, (TBL_Q_11_IntSV_All[[#This Row],[Q. No.]]=TBL_ADD_04_Qs_All[Q.])*("Question"=TBL_ADD_04_Qs_All[Type])*("IntSV"=TBL_ADD_04_Qs_All[Section]),0)), "
")))</f>
        <v xml:space="preserve">Not used
</v>
      </c>
      <c r="C70" s="489" t="s">
        <v>332</v>
      </c>
      <c r="D70" s="484" t="s">
        <v>1327</v>
      </c>
      <c r="E70" s="485" t="s">
        <v>577</v>
      </c>
      <c r="F70" s="476" t="str">
        <f t="array" ref="F70">IF($E$4="No", "Shade", IF(OR(INDEX(TBL_ADD_04_Qs_All[Question / Sub-question], MATCH(1, (TBL_Q_11_IntSV_All[[#This Row],[Q_No]]=TBL_ADD_04_Qs_All[Q.])*("Question"=TBL_ADD_04_Qs_All[Type])*("IntSV"=TBL_ADD_04_Qs_All[Section]),0))="Not used", TBL_Q_11_IntSV_All[[#This Row],[Question]]="Not used
"), "Shade", ""))</f>
        <v>Shade</v>
      </c>
      <c r="G70" s="119"/>
      <c r="I70" s="1"/>
    </row>
    <row r="71" spans="1:12" hidden="1"/>
    <row r="72" spans="1:12" hidden="1"/>
  </sheetData>
  <sheetProtection algorithmName="SHA-512" hashValue="ZdsbnFhm3qGU5YLQygLZsfMf5LRYxss2tAGMB+14C4I1bfSwFcCqT1bcMgXt52mndsYC94btvTZylqcegUB/QQ==" saltValue="XAg5qKdO3yrp1BA1beK/8A==" spinCount="100000" sheet="1" objects="1" scenarios="1"/>
  <mergeCells count="1">
    <mergeCell ref="K8:L8"/>
  </mergeCells>
  <conditionalFormatting sqref="A11:F70">
    <cfRule type="expression" dxfId="59" priority="1">
      <formula>INDIRECT("C"&amp;ROW())="Sub-question"</formula>
    </cfRule>
    <cfRule type="expression" dxfId="58" priority="2">
      <formula>INDIRECT("F"&amp;ROW())="Shade"</formula>
    </cfRule>
  </conditionalFormatting>
  <pageMargins left="0.78740157480314965" right="0.78740157480314965" top="0.39370078740157483" bottom="0.78740157480314965" header="0" footer="0.39370078740157483"/>
  <pageSetup paperSize="9" orientation="portrait" r:id="rId1"/>
  <headerFooter>
    <oddFooter>&amp;C&amp;"Arial,Regular"&amp;10&amp;K00-049&amp;P</oddFooter>
  </headerFooter>
  <rowBreaks count="5" manualBreakCount="5">
    <brk id="9" max="16383" man="1"/>
    <brk id="22" max="16383" man="1"/>
    <brk id="34" max="16383" man="1"/>
    <brk id="46" max="16383" man="1"/>
    <brk id="58" max="16383" man="1"/>
  </rowBreak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F6796-948E-428E-99D2-127D516D2814}">
  <sheetPr codeName="Sheet89">
    <tabColor rgb="FFFF0000"/>
  </sheetPr>
  <dimension ref="A1:N158"/>
  <sheetViews>
    <sheetView showGridLines="0" topLeftCell="A159" zoomScaleNormal="100" workbookViewId="0">
      <selection activeCell="A158" sqref="A1:XFD158"/>
    </sheetView>
  </sheetViews>
  <sheetFormatPr defaultColWidth="9" defaultRowHeight="12.5"/>
  <cols>
    <col min="1" max="1" width="9.453125" style="31" customWidth="1"/>
    <col min="2" max="2" width="65.36328125" style="46" customWidth="1"/>
    <col min="3" max="3" width="19.453125" style="23" customWidth="1"/>
    <col min="4" max="4" width="12.08984375" style="12" customWidth="1"/>
    <col min="5" max="5" width="8.453125" style="12" customWidth="1"/>
    <col min="6" max="6" width="20.36328125" style="12" customWidth="1"/>
    <col min="7" max="7" width="11.6328125" style="12" customWidth="1"/>
    <col min="8" max="8" width="10.453125" style="12" customWidth="1"/>
    <col min="9" max="9" width="14.54296875" style="12" customWidth="1"/>
    <col min="10" max="10" width="19.90625" style="12" hidden="1" customWidth="1"/>
    <col min="11" max="11" width="77.6328125" style="12" customWidth="1"/>
    <col min="12" max="12" width="80.90625" style="12" hidden="1" customWidth="1"/>
    <col min="13" max="13" width="84.6328125" style="12" hidden="1" customWidth="1"/>
    <col min="14" max="14" width="112.36328125" style="12" hidden="1" customWidth="1"/>
    <col min="15" max="16384" width="9" style="12"/>
  </cols>
  <sheetData>
    <row r="1" spans="1:14" s="343" customFormat="1" ht="12.5" hidden="1"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342"/>
      <c r="G1" s="344" t="str">
        <f>IF(COUNTIF(E23:E140,"Add")&gt;0,"Incomplete",IF(COUNTIF(E143:G154,"Add")&gt;0,"Incomplete","Complete"))</f>
        <v>Incomplete</v>
      </c>
    </row>
    <row r="2" spans="1:14" s="343" customFormat="1" ht="12.5" hidden="1" customHeight="1">
      <c r="A2" s="54" t="str">
        <f t="array" ref="A2">CONCATENATE(INDEX(TBL_DATA_00_Doc_Merge[Supplier_Type], MATCH(1, (REF_Doc_Lot=TBL_DATA_00_Doc_Merge[Lot])*(REF_Job_No=TBL_DATA_00_Doc_Merge[Job_No]),0)), ":")</f>
        <v>Supplier:</v>
      </c>
      <c r="B2" s="54" t="str">
        <f>Response!$A$2</f>
        <v>Purdy Contracts Ltd</v>
      </c>
      <c r="C2" s="342"/>
    </row>
    <row r="3" spans="1:14" s="343" customFormat="1" ht="12.5" hidden="1" customHeight="1">
      <c r="A3" s="345"/>
      <c r="B3" s="346"/>
      <c r="C3" s="342"/>
    </row>
    <row r="4" spans="1:14" s="89" customFormat="1" ht="17.5" hidden="1">
      <c r="A4" s="88" t="s">
        <v>89</v>
      </c>
      <c r="B4" s="91"/>
      <c r="C4" s="353"/>
    </row>
    <row r="5" spans="1:14" s="64" customFormat="1" hidden="1">
      <c r="A5" s="31"/>
      <c r="B5" s="32"/>
      <c r="C5" s="93"/>
    </row>
    <row r="6" spans="1:14" ht="14" hidden="1" customHeight="1">
      <c r="A6" s="678" t="s">
        <v>131</v>
      </c>
      <c r="B6" s="678"/>
      <c r="C6" s="678"/>
      <c r="L6" t="s">
        <v>2163</v>
      </c>
      <c r="M6" t="s">
        <v>2164</v>
      </c>
      <c r="N6" t="s">
        <v>2165</v>
      </c>
    </row>
    <row r="7" spans="1:14" hidden="1">
      <c r="A7" s="37"/>
      <c r="C7" s="33"/>
    </row>
    <row r="8" spans="1:14" ht="13" hidden="1">
      <c r="A8" s="37">
        <v>1</v>
      </c>
      <c r="B8" s="678" t="str">
        <f>L8</f>
        <v>This document:  With all green cells fully completed and submitted in Excel.</v>
      </c>
      <c r="C8" s="678"/>
      <c r="L8" s="18" t="s">
        <v>316</v>
      </c>
      <c r="M8" s="18"/>
    </row>
    <row r="9" spans="1:14" hidden="1">
      <c r="A9" s="37"/>
      <c r="C9" s="33"/>
      <c r="L9" s="46"/>
      <c r="M9" s="557"/>
    </row>
    <row r="10" spans="1:14" ht="25.5" hidden="1">
      <c r="A10" s="37">
        <v>2</v>
      </c>
      <c r="B10" s="678" t="str">
        <f>L10</f>
        <v>Parts 1 and 2:  Any supporting information to support the responses to Parts 1 and 2.  Please see the check list below for a summary of all the supporting information which may be required.</v>
      </c>
      <c r="C10" s="678"/>
      <c r="L10" s="316" t="s">
        <v>1388</v>
      </c>
      <c r="M10" s="18"/>
    </row>
    <row r="11" spans="1:14" hidden="1">
      <c r="A11" s="37"/>
      <c r="B11" s="21"/>
      <c r="C11" s="33"/>
      <c r="L11" s="558"/>
      <c r="M11" s="557"/>
    </row>
    <row r="12" spans="1:14" ht="25.5" hidden="1">
      <c r="A12" s="37">
        <v>3</v>
      </c>
      <c r="B12" s="678" t="str">
        <f>L12</f>
        <v>Part 3 - Q5 - Declaration: must be signed, in accordance with the instructions outlined in paragraph 1.12.4 of Document 1, and returned as a scanned PDF document.</v>
      </c>
      <c r="C12" s="678"/>
      <c r="L12" s="316" t="s">
        <v>1915</v>
      </c>
      <c r="M12" s="18"/>
    </row>
    <row r="13" spans="1:14" hidden="1">
      <c r="A13" s="37"/>
      <c r="C13" s="33"/>
      <c r="L13" s="46"/>
      <c r="M13" s="557"/>
    </row>
    <row r="14" spans="1:14" ht="45.5" hidden="1" customHeight="1">
      <c r="A14" s="37">
        <v>4</v>
      </c>
      <c r="B14" s="676" t="str">
        <f>IF(REF_Select_Include="Yes", IF(REF_Split_Price=100, $L$14, $M$14), IF(REF_Split_Price=100, $L$16, $N$14))</f>
        <v>Part 3 - Q6 and Part 4:  Please submit one word document per question for your response to the questions in Part 3 - Q6 and Part 4.  The word document should include any appendices, where applicable and requested within the question.  Please see document 1 for further details on how to present the responses.</v>
      </c>
      <c r="C14" s="678"/>
      <c r="L14" s="316" t="s">
        <v>1916</v>
      </c>
      <c r="M14" s="316" t="s">
        <v>1917</v>
      </c>
      <c r="N14" s="316" t="s">
        <v>1390</v>
      </c>
    </row>
    <row r="15" spans="1:14" hidden="1">
      <c r="A15" s="37"/>
      <c r="C15" s="33"/>
      <c r="L15" s="46"/>
      <c r="M15" s="557"/>
    </row>
    <row r="16" spans="1:14" ht="25.5" hidden="1">
      <c r="A16" s="37">
        <v>5</v>
      </c>
      <c r="B16" s="676" t="str">
        <f>IF(REF_Select_Include="Yes", $L$16, IF(REF_Split_Price=100, $M$16, $L$16))</f>
        <v>Part 7:  The Form of Tender must be signed, in accordance with the instructions outlined in paragraph 1.11.4 of Document 1, and returned as a scanned PDF document.</v>
      </c>
      <c r="C16" s="680"/>
      <c r="L16" s="316" t="s">
        <v>1389</v>
      </c>
      <c r="M16" s="298" t="s">
        <v>2166</v>
      </c>
    </row>
    <row r="17" spans="1:8" hidden="1">
      <c r="A17" s="37"/>
      <c r="C17" s="33"/>
    </row>
    <row r="18" spans="1:8" ht="31.5" hidden="1" customHeight="1">
      <c r="A18" s="37" t="s">
        <v>218</v>
      </c>
      <c r="B18" s="678" t="s">
        <v>230</v>
      </c>
      <c r="C18" s="678"/>
    </row>
    <row r="19" spans="1:8" hidden="1">
      <c r="C19" s="33"/>
    </row>
    <row r="20" spans="1:8" ht="28.5" hidden="1" customHeight="1">
      <c r="A20" s="679" t="s">
        <v>132</v>
      </c>
      <c r="B20" s="679"/>
      <c r="C20" s="679"/>
    </row>
    <row r="21" spans="1:8" hidden="1"/>
    <row r="22" spans="1:8" ht="13" hidden="1">
      <c r="A22" s="304" t="s">
        <v>1429</v>
      </c>
      <c r="B22" s="305" t="s">
        <v>91</v>
      </c>
      <c r="C22" s="306" t="s">
        <v>219</v>
      </c>
      <c r="D22" s="285" t="s">
        <v>477</v>
      </c>
      <c r="E22" s="285" t="s">
        <v>487</v>
      </c>
      <c r="F22" s="285" t="s">
        <v>1397</v>
      </c>
      <c r="G22" s="285" t="s">
        <v>714</v>
      </c>
      <c r="H22" s="285" t="s">
        <v>90</v>
      </c>
    </row>
    <row r="23" spans="1:8" ht="15.5" hidden="1">
      <c r="A23" s="288" t="s">
        <v>143</v>
      </c>
      <c r="B23" s="289" t="s">
        <v>1391</v>
      </c>
      <c r="C23" s="290"/>
      <c r="D23" s="294" t="s">
        <v>24</v>
      </c>
      <c r="E23" s="295" t="str">
        <f>IF(TBL_REF_07_PAS_Open_CheckList[[#This Row],[Required?]]="N/A", "", IF(TBL_REF_07_PAS_Open_CheckList[[#This Row],[Required?]]="No", "Shade", IF(TBL_REF_07_PAS_Open_CheckList[[#This Row],[Enclosed?]]&lt;&gt;"", "Done", "Add")))</f>
        <v/>
      </c>
      <c r="F23" s="296"/>
      <c r="G23" s="296"/>
      <c r="H23" s="296"/>
    </row>
    <row r="24" spans="1:8" hidden="1">
      <c r="A24" s="286" t="s">
        <v>778</v>
      </c>
      <c r="B24" s="283" t="s">
        <v>1394</v>
      </c>
      <c r="C24" s="34"/>
      <c r="D24" s="294" t="str">
        <f t="array" ref="D24">IF(INDEX(TBL_Q_05_PAS_C2_A[Check_1], MATCH(1, (TBL_REF_07_PAS_Open_CheckList[[#This Row],[Index_Ref]]=TBL_Q_05_PAS_C2_A[Index_Ref])*(TBL_REF_07_PAS_Open_CheckList[[#This Row],[Ref]]=TBL_Q_05_PAS_C2_A[Ref]),0))="Done", "Yes", "No")</f>
        <v>No</v>
      </c>
      <c r="E24" s="295" t="str">
        <f>IF(TBL_REF_07_PAS_Open_CheckList[[#This Row],[Required?]]="N/A", "", IF(TBL_REF_07_PAS_Open_CheckList[[#This Row],[Required?]]="No", "Shade", IF(TBL_REF_07_PAS_Open_CheckList[[#This Row],[Enclosed?]]&lt;&gt;"", "Done", "Add")))</f>
        <v>Shade</v>
      </c>
      <c r="F24" s="296" t="s">
        <v>1398</v>
      </c>
      <c r="G24" s="295" t="s">
        <v>778</v>
      </c>
      <c r="H24" s="295" t="s">
        <v>750</v>
      </c>
    </row>
    <row r="25" spans="1:8" hidden="1">
      <c r="A25" s="286" t="s">
        <v>779</v>
      </c>
      <c r="B25" s="283" t="s">
        <v>1392</v>
      </c>
      <c r="C25" s="34"/>
      <c r="D25" s="294" t="str">
        <f t="array" ref="D25">IF(INDEX(TBL_Q_05_PAS_C2_A[Check_1], MATCH(1, (TBL_REF_07_PAS_Open_CheckList[[#This Row],[Index_Ref]]=TBL_Q_05_PAS_C2_A[Index_Ref])*(TBL_REF_07_PAS_Open_CheckList[[#This Row],[Ref]]=TBL_Q_05_PAS_C2_A[Ref]),0))="Done", "Yes", "No")</f>
        <v>No</v>
      </c>
      <c r="E25" s="295" t="str">
        <f>IF(TBL_REF_07_PAS_Open_CheckList[[#This Row],[Required?]]="N/A", "", IF(TBL_REF_07_PAS_Open_CheckList[[#This Row],[Required?]]="No", "Shade", IF(TBL_REF_07_PAS_Open_CheckList[[#This Row],[Enclosed?]]&lt;&gt;"", "Done", "Add")))</f>
        <v>Shade</v>
      </c>
      <c r="F25" s="296" t="s">
        <v>1398</v>
      </c>
      <c r="G25" s="295" t="s">
        <v>779</v>
      </c>
      <c r="H25" s="295" t="s">
        <v>752</v>
      </c>
    </row>
    <row r="26" spans="1:8" hidden="1">
      <c r="A26" s="286" t="s">
        <v>780</v>
      </c>
      <c r="B26" s="283" t="s">
        <v>1393</v>
      </c>
      <c r="C26" s="34"/>
      <c r="D26" s="294" t="str">
        <f t="array" ref="D26">IF(INDEX(TBL_Q_05_PAS_C2_A[Check_1], MATCH(1, (TBL_REF_07_PAS_Open_CheckList[[#This Row],[Index_Ref]]=TBL_Q_05_PAS_C2_A[Index_Ref])*(TBL_REF_07_PAS_Open_CheckList[[#This Row],[Ref]]=TBL_Q_05_PAS_C2_A[Ref]),0))="Done", "Yes", "No")</f>
        <v>No</v>
      </c>
      <c r="E26" s="295" t="str">
        <f>IF(TBL_REF_07_PAS_Open_CheckList[[#This Row],[Required?]]="N/A", "", IF(TBL_REF_07_PAS_Open_CheckList[[#This Row],[Required?]]="No", "Shade", IF(TBL_REF_07_PAS_Open_CheckList[[#This Row],[Enclosed?]]&lt;&gt;"", "Done", "Add")))</f>
        <v>Shade</v>
      </c>
      <c r="F26" s="296" t="s">
        <v>1398</v>
      </c>
      <c r="G26" s="295" t="s">
        <v>780</v>
      </c>
      <c r="H26" s="295" t="s">
        <v>753</v>
      </c>
    </row>
    <row r="27" spans="1:8" hidden="1">
      <c r="A27" s="286" t="s">
        <v>781</v>
      </c>
      <c r="B27" s="283" t="s">
        <v>1395</v>
      </c>
      <c r="C27" s="34"/>
      <c r="D27" s="294" t="str">
        <f t="array" ref="D27">IF(INDEX(TBL_Q_05_PAS_C2_A[Check_1], MATCH(1, (TBL_REF_07_PAS_Open_CheckList[[#This Row],[Index_Ref]]=TBL_Q_05_PAS_C2_A[Index_Ref])*(TBL_REF_07_PAS_Open_CheckList[[#This Row],[Ref]]=TBL_Q_05_PAS_C2_A[Ref]),0))="Done", "Yes", "No")</f>
        <v>No</v>
      </c>
      <c r="E27" s="295" t="str">
        <f>IF(TBL_REF_07_PAS_Open_CheckList[[#This Row],[Required?]]="N/A", "", IF(TBL_REF_07_PAS_Open_CheckList[[#This Row],[Required?]]="No", "Shade", IF(TBL_REF_07_PAS_Open_CheckList[[#This Row],[Enclosed?]]&lt;&gt;"", "Done", "Add")))</f>
        <v>Shade</v>
      </c>
      <c r="F27" s="296" t="s">
        <v>1398</v>
      </c>
      <c r="G27" s="295" t="s">
        <v>781</v>
      </c>
      <c r="H27" s="295" t="s">
        <v>754</v>
      </c>
    </row>
    <row r="28" spans="1:8" hidden="1">
      <c r="A28" s="286" t="s">
        <v>782</v>
      </c>
      <c r="B28" s="283" t="s">
        <v>1396</v>
      </c>
      <c r="C28" s="34"/>
      <c r="D28" s="294" t="str">
        <f t="array" ref="D28">IF(INDEX(TBL_Q_05_PAS_C2_A[Check_1], MATCH(1, (TBL_REF_07_PAS_Open_CheckList[[#This Row],[Index_Ref]]=TBL_Q_05_PAS_C2_A[Index_Ref])*(TBL_REF_07_PAS_Open_CheckList[[#This Row],[Ref]]=TBL_Q_05_PAS_C2_A[Ref]),0))="Done", "Yes", "No")</f>
        <v>No</v>
      </c>
      <c r="E28" s="295" t="str">
        <f>IF(TBL_REF_07_PAS_Open_CheckList[[#This Row],[Required?]]="N/A", "", IF(TBL_REF_07_PAS_Open_CheckList[[#This Row],[Required?]]="No", "Shade", IF(TBL_REF_07_PAS_Open_CheckList[[#This Row],[Enclosed?]]&lt;&gt;"", "Done", "Add")))</f>
        <v>Shade</v>
      </c>
      <c r="F28" s="296" t="s">
        <v>1398</v>
      </c>
      <c r="G28" s="295" t="s">
        <v>782</v>
      </c>
      <c r="H28" s="295" t="s">
        <v>755</v>
      </c>
    </row>
    <row r="29" spans="1:8" hidden="1">
      <c r="A29" s="286" t="s">
        <v>1837</v>
      </c>
      <c r="B29" s="283" t="s">
        <v>1838</v>
      </c>
      <c r="C29" s="34"/>
      <c r="D29" s="294" t="str">
        <f t="array" ref="D29">IF(INDEX(TBL_Q_05_PAS_C2_B[Check], MATCH(1, (TBL_REF_07_PAS_Open_CheckList[[#This Row],[Index_Ref]]=TBL_Q_05_PAS_C2_B[Index_Ref])*(TBL_REF_07_PAS_Open_CheckList[[#This Row],[Ref]]=TBL_Q_05_PAS_C2_B[Ref]),0))="Done", "Yes", "No")</f>
        <v>No</v>
      </c>
      <c r="E29" s="295" t="str">
        <f>IF(TBL_REF_07_PAS_Open_CheckList[[#This Row],[Required?]]="N/A", "", IF(TBL_REF_07_PAS_Open_CheckList[[#This Row],[Required?]]="No", "Shade", IF(TBL_REF_07_PAS_Open_CheckList[[#This Row],[Enclosed?]]&lt;&gt;"", "Done", "Add")))</f>
        <v>Shade</v>
      </c>
      <c r="F29" s="295" t="s">
        <v>1840</v>
      </c>
      <c r="G29" s="286" t="s">
        <v>783</v>
      </c>
      <c r="H29" s="295" t="s">
        <v>757</v>
      </c>
    </row>
    <row r="30" spans="1:8" hidden="1">
      <c r="A30" s="286" t="s">
        <v>1836</v>
      </c>
      <c r="B30" s="283" t="s">
        <v>1839</v>
      </c>
      <c r="C30" s="34"/>
      <c r="D30" s="294" t="str">
        <f t="array" ref="D30">IF(INDEX(TBL_Q_05_PAS_C2_B[Check], MATCH(1, (TBL_REF_07_PAS_Open_CheckList[[#This Row],[Index_Ref]]=TBL_Q_05_PAS_C2_B[Index_Ref])*(TBL_REF_07_PAS_Open_CheckList[[#This Row],[Ref]]=TBL_Q_05_PAS_C2_B[Ref]),0))="Done", "Yes", "No")</f>
        <v>No</v>
      </c>
      <c r="E30" s="295" t="str">
        <f>IF(TBL_REF_07_PAS_Open_CheckList[[#This Row],[Required?]]="N/A", "", IF(TBL_REF_07_PAS_Open_CheckList[[#This Row],[Required?]]="No", "Shade", IF(TBL_REF_07_PAS_Open_CheckList[[#This Row],[Enclosed?]]&lt;&gt;"", "Done", "Add")))</f>
        <v>Shade</v>
      </c>
      <c r="F30" s="295" t="s">
        <v>1840</v>
      </c>
      <c r="G30" s="286" t="s">
        <v>811</v>
      </c>
      <c r="H30" s="295" t="s">
        <v>762</v>
      </c>
    </row>
    <row r="31" spans="1:8" hidden="1">
      <c r="A31" s="286" t="s">
        <v>1835</v>
      </c>
      <c r="B31" s="283" t="s">
        <v>1834</v>
      </c>
      <c r="C31" s="34"/>
      <c r="D31" s="294" t="str">
        <f t="array" ref="D31">IF(INDEX(TBL_Q_05_PAS_C2_B[Check], MATCH(1, (TBL_REF_07_PAS_Open_CheckList[[#This Row],[Index_Ref]]=TBL_Q_05_PAS_C2_B[Index_Ref])*(TBL_REF_07_PAS_Open_CheckList[[#This Row],[Ref]]=TBL_Q_05_PAS_C2_B[Ref]),0))="Done", "Yes", "No")</f>
        <v>No</v>
      </c>
      <c r="E31" s="295" t="str">
        <f>IF(TBL_REF_07_PAS_Open_CheckList[[#This Row],[Required?]]="N/A", "", IF(TBL_REF_07_PAS_Open_CheckList[[#This Row],[Required?]]="No", "Shade", IF(TBL_REF_07_PAS_Open_CheckList[[#This Row],[Enclosed?]]&lt;&gt;"", "Done", "Add")))</f>
        <v>Shade</v>
      </c>
      <c r="F31" s="295" t="s">
        <v>1840</v>
      </c>
      <c r="G31" s="286" t="s">
        <v>804</v>
      </c>
      <c r="H31" s="295" t="s">
        <v>822</v>
      </c>
    </row>
    <row r="32" spans="1:8" hidden="1">
      <c r="A32" s="286" t="s">
        <v>1833</v>
      </c>
      <c r="B32" s="283" t="s">
        <v>1832</v>
      </c>
      <c r="C32" s="34"/>
      <c r="D32" s="294" t="str">
        <f t="array" ref="D32">IF(INDEX(TBL_Q_05_PAS_C2_B[Check], MATCH(1, (TBL_REF_07_PAS_Open_CheckList[[#This Row],[Index_Ref]]=TBL_Q_05_PAS_C2_B[Index_Ref])*(TBL_REF_07_PAS_Open_CheckList[[#This Row],[Ref]]=TBL_Q_05_PAS_C2_B[Ref]),0))="Done", "Yes", "No")</f>
        <v>No</v>
      </c>
      <c r="E32" s="295" t="str">
        <f>IF(TBL_REF_07_PAS_Open_CheckList[[#This Row],[Required?]]="N/A", "", IF(TBL_REF_07_PAS_Open_CheckList[[#This Row],[Required?]]="No", "Shade", IF(TBL_REF_07_PAS_Open_CheckList[[#This Row],[Enclosed?]]&lt;&gt;"", "Done", "Add")))</f>
        <v>Shade</v>
      </c>
      <c r="F32" s="295" t="s">
        <v>1840</v>
      </c>
      <c r="G32" s="286" t="s">
        <v>797</v>
      </c>
      <c r="H32" s="295" t="s">
        <v>826</v>
      </c>
    </row>
    <row r="33" spans="1:8" ht="15.5" hidden="1">
      <c r="A33" s="288" t="s">
        <v>143</v>
      </c>
      <c r="B33" s="289" t="s">
        <v>1402</v>
      </c>
      <c r="C33" s="290"/>
      <c r="D33" s="294" t="s">
        <v>24</v>
      </c>
      <c r="E33" s="295" t="str">
        <f>IF(TBL_REF_07_PAS_Open_CheckList[[#This Row],[Required?]]="N/A", "", IF(TBL_REF_07_PAS_Open_CheckList[[#This Row],[Required?]]="No", "Shade", IF(TBL_REF_07_PAS_Open_CheckList[[#This Row],[Enclosed?]]&lt;&gt;"", "Done", "Add")))</f>
        <v/>
      </c>
      <c r="F33" s="295"/>
      <c r="G33" s="295"/>
      <c r="H33" s="295"/>
    </row>
    <row r="34" spans="1:8" hidden="1">
      <c r="A34" s="286" t="s">
        <v>1342</v>
      </c>
      <c r="B34" s="35" t="str">
        <f>IF('Project Info'!$K$75="No", "[Delete this row]", "Completed Single Procurement Document (SPD)")</f>
        <v>Completed Single Procurement Document (SPD)</v>
      </c>
      <c r="C34" s="34"/>
      <c r="D34" s="294" t="str">
        <f>IF('Project Info'!$K$75="No", "No", IF('Part 1_Core 3'!$C$10&lt;&gt;"", 'Part 1_Core 3'!$C$10, "No"))</f>
        <v>No</v>
      </c>
      <c r="E34" s="295" t="str">
        <f>IF(TBL_REF_07_PAS_Open_CheckList[[#This Row],[Required?]]="N/A", "", IF(TBL_REF_07_PAS_Open_CheckList[[#This Row],[Required?]]="No", "Shade", IF(TBL_REF_07_PAS_Open_CheckList[[#This Row],[Enclosed?]]&lt;&gt;"", "Done", "Add")))</f>
        <v>Shade</v>
      </c>
      <c r="F34" s="295" t="s">
        <v>1470</v>
      </c>
      <c r="G34" s="295" t="s">
        <v>24</v>
      </c>
      <c r="H34" s="295" t="s">
        <v>24</v>
      </c>
    </row>
    <row r="35" spans="1:8" hidden="1">
      <c r="A35" s="286" t="s">
        <v>1122</v>
      </c>
      <c r="B35" s="35" t="str">
        <f>IF('Project Info'!$K$75="No", "[Delete this row]", "Further details in relation to C3-QP2-1 to C3-QP2-8")</f>
        <v>Further details in relation to C3-QP2-1 to C3-QP2-8</v>
      </c>
      <c r="C35" s="34"/>
      <c r="D35" s="294" t="str">
        <f t="array" ref="D35">IF('Project Info'!$K$75="No", "No", INDEX(TBL_Q_05_PAS_C3_B[Response?], MATCH(1, (TBL_REF_07_PAS_Open_CheckList[[#This Row],[Index_Ref]]=TBL_Q_05_PAS_C3_B[Index_Ref])*(TBL_REF_07_PAS_Open_CheckList[[#This Row],[Ref]]=TBL_Q_05_PAS_C3_B[Ref]),0)))</f>
        <v>No</v>
      </c>
      <c r="E35" s="295" t="str">
        <f>IF(TBL_REF_07_PAS_Open_CheckList[[#This Row],[Required?]]="N/A", "", IF(TBL_REF_07_PAS_Open_CheckList[[#This Row],[Required?]]="No", "Shade", IF(TBL_REF_07_PAS_Open_CheckList[[#This Row],[Enclosed?]]&lt;&gt;"", "Done", "Add")))</f>
        <v>Shade</v>
      </c>
      <c r="F35" s="295" t="s">
        <v>1399</v>
      </c>
      <c r="G35" s="295" t="s">
        <v>1122</v>
      </c>
      <c r="H35" s="295" t="s">
        <v>1109</v>
      </c>
    </row>
    <row r="36" spans="1:8" hidden="1">
      <c r="A36" s="286" t="s">
        <v>1123</v>
      </c>
      <c r="B36" s="35" t="str">
        <f>IF('Project Info'!$K$75="No", "[Delete this row]", "Self-cleaning information in relation to C3-QP2-1 to C3-QP2-8")</f>
        <v>Self-cleaning information in relation to C3-QP2-1 to C3-QP2-8</v>
      </c>
      <c r="C36" s="34"/>
      <c r="D36" s="294" t="str">
        <f t="array" ref="D36">IF('Project Info'!$K$75="No", "No", INDEX(TBL_Q_05_PAS_C3_B[Response?], MATCH(1, (TBL_REF_07_PAS_Open_CheckList[[#This Row],[Index_Ref]]=TBL_Q_05_PAS_C3_B[Index_Ref])*(TBL_REF_07_PAS_Open_CheckList[[#This Row],[Ref]]=TBL_Q_05_PAS_C3_B[Ref]),0)))</f>
        <v>No</v>
      </c>
      <c r="E36" s="295" t="str">
        <f>IF(TBL_REF_07_PAS_Open_CheckList[[#This Row],[Required?]]="N/A", "", IF(TBL_REF_07_PAS_Open_CheckList[[#This Row],[Required?]]="No", "Shade", IF(TBL_REF_07_PAS_Open_CheckList[[#This Row],[Enclosed?]]&lt;&gt;"", "Done", "Add")))</f>
        <v>Shade</v>
      </c>
      <c r="F36" s="295" t="s">
        <v>1399</v>
      </c>
      <c r="G36" s="295" t="s">
        <v>1123</v>
      </c>
      <c r="H36" s="295" t="s">
        <v>1110</v>
      </c>
    </row>
    <row r="37" spans="1:8" hidden="1">
      <c r="A37" s="286" t="s">
        <v>1150</v>
      </c>
      <c r="B37" s="35" t="str">
        <f>IF('Project Info'!$K$75="No", "[Delete this row]", "Further details in relation to C3-QP3-2 to C3-QP3-3(c)")</f>
        <v>Further details in relation to C3-QP3-2 to C3-QP3-3(c)</v>
      </c>
      <c r="C37" s="34"/>
      <c r="D37" s="294" t="str">
        <f t="array" ref="D37">IF('Project Info'!$K$75="No", "No", INDEX(TBL_Q_05_PAS_C3_C[Response?], MATCH(1, (TBL_REF_07_PAS_Open_CheckList[[#This Row],[Index_Ref]]=TBL_Q_05_PAS_C3_C[Index_Ref])*(TBL_REF_07_PAS_Open_CheckList[[#This Row],[Ref]]=TBL_Q_05_PAS_C3_C[Ref]),0)))</f>
        <v>No</v>
      </c>
      <c r="E37" s="295" t="str">
        <f>IF(TBL_REF_07_PAS_Open_CheckList[[#This Row],[Required?]]="N/A", "", IF(TBL_REF_07_PAS_Open_CheckList[[#This Row],[Required?]]="No", "Shade", IF(TBL_REF_07_PAS_Open_CheckList[[#This Row],[Enclosed?]]&lt;&gt;"", "Done", "Add")))</f>
        <v>Shade</v>
      </c>
      <c r="F37" s="295" t="s">
        <v>1400</v>
      </c>
      <c r="G37" s="295" t="s">
        <v>1150</v>
      </c>
      <c r="H37" s="295" t="s">
        <v>1140</v>
      </c>
    </row>
    <row r="38" spans="1:8" hidden="1">
      <c r="A38" s="286" t="s">
        <v>1193</v>
      </c>
      <c r="B38" s="35" t="str">
        <f>IF('Project Info'!$K$75="No", "[Delete this row]", "Further details in relation to C3-QP4-1 to C3-QP4-8(e)")</f>
        <v>Further details in relation to C3-QP4-1 to C3-QP4-8(e)</v>
      </c>
      <c r="C38" s="34"/>
      <c r="D38" s="294" t="str">
        <f t="array" ref="D38">IF('Project Info'!$K$75="No", "No", INDEX(TBL_Q_05_PAS_C3_D[Response?], MATCH(1, (TBL_REF_07_PAS_Open_CheckList[[#This Row],[Index_Ref]]=TBL_Q_05_PAS_C3_D[Index_Ref])*(TBL_REF_07_PAS_Open_CheckList[[#This Row],[Ref]]=TBL_Q_05_PAS_C3_D[Ref]),0)))</f>
        <v>No</v>
      </c>
      <c r="E38" s="295" t="str">
        <f>IF(TBL_REF_07_PAS_Open_CheckList[[#This Row],[Required?]]="N/A", "", IF(TBL_REF_07_PAS_Open_CheckList[[#This Row],[Required?]]="No", "Shade", IF(TBL_REF_07_PAS_Open_CheckList[[#This Row],[Enclosed?]]&lt;&gt;"", "Done", "Add")))</f>
        <v>Shade</v>
      </c>
      <c r="F38" s="295" t="s">
        <v>1401</v>
      </c>
      <c r="G38" s="295" t="s">
        <v>1193</v>
      </c>
      <c r="H38" s="295" t="s">
        <v>1179</v>
      </c>
    </row>
    <row r="39" spans="1:8" hidden="1">
      <c r="A39" s="286" t="s">
        <v>1211</v>
      </c>
      <c r="B39" s="35" t="str">
        <f>IF(OR('Project Info'!$K$75="No", 'Project Info'!$K$76="No"), "[Delete this row]", "Details in relation to C3-QD1-1-a")</f>
        <v>[Delete this row]</v>
      </c>
      <c r="C39" s="34"/>
      <c r="D39" s="294" t="str">
        <f t="array" ref="D39">IF(OR('Project Info'!$K$75="No", 'Project Info'!$K$76="No", 'Part 1_Core 3_D&amp;S'!$C$10="No"), "No", IF(INDEX(TBL_Q_05_PAS_C3_F[Response], MATCH(1, (TBL_REF_07_PAS_Open_CheckList[[#This Row],[Index_Ref]]=TBL_Q_05_PAS_C3_F[Index_Ref])*(TBL_REF_07_PAS_Open_CheckList[[#This Row],[Ref]]=TBL_Q_05_PAS_C3_F[Ref]),0))="Enclosed", "Yes", "No"))</f>
        <v>No</v>
      </c>
      <c r="E39" s="295" t="str">
        <f>IF(TBL_REF_07_PAS_Open_CheckList[[#This Row],[Required?]]="N/A", "", IF(TBL_REF_07_PAS_Open_CheckList[[#This Row],[Required?]]="No", "Shade", IF(TBL_REF_07_PAS_Open_CheckList[[#This Row],[Enclosed?]]&lt;&gt;"", "Done", "Add")))</f>
        <v>Shade</v>
      </c>
      <c r="F39" s="295" t="s">
        <v>1403</v>
      </c>
      <c r="G39" s="295" t="s">
        <v>1405</v>
      </c>
      <c r="H39" s="295" t="s">
        <v>1182</v>
      </c>
    </row>
    <row r="40" spans="1:8" hidden="1">
      <c r="A40" s="286" t="s">
        <v>1211</v>
      </c>
      <c r="B40" s="35" t="str">
        <f>IF(OR('Project Info'!$K$75="No", 'Project Info'!$K$76="No"), "[Delete this row]", "Details in relation to C3-QD1-1-b")</f>
        <v>[Delete this row]</v>
      </c>
      <c r="C40" s="34"/>
      <c r="D40" s="294" t="str">
        <f t="array" ref="D40">IF(OR('Project Info'!$K$75="No", 'Project Info'!$K$76="No", 'Part 1_Core 3_D&amp;S'!$C$10="No"), "No", IF(INDEX(TBL_Q_05_PAS_C3_F[Response], MATCH(1, (TBL_REF_07_PAS_Open_CheckList[[#This Row],[Index_Ref]]=TBL_Q_05_PAS_C3_F[Index_Ref])*(TBL_REF_07_PAS_Open_CheckList[[#This Row],[Ref]]=TBL_Q_05_PAS_C3_F[Ref]),0))="Enclosed", "Yes", "No"))</f>
        <v>No</v>
      </c>
      <c r="E40" s="295" t="str">
        <f>IF(TBL_REF_07_PAS_Open_CheckList[[#This Row],[Required?]]="N/A", "", IF(TBL_REF_07_PAS_Open_CheckList[[#This Row],[Required?]]="No", "Shade", IF(TBL_REF_07_PAS_Open_CheckList[[#This Row],[Enclosed?]]&lt;&gt;"", "Done", "Add")))</f>
        <v>Shade</v>
      </c>
      <c r="F40" s="295" t="s">
        <v>1403</v>
      </c>
      <c r="G40" s="295" t="s">
        <v>1406</v>
      </c>
      <c r="H40" s="295" t="s">
        <v>1194</v>
      </c>
    </row>
    <row r="41" spans="1:8" hidden="1">
      <c r="A41" s="286" t="s">
        <v>1211</v>
      </c>
      <c r="B41" s="35" t="str">
        <f>IF(OR('Project Info'!$K$75="No", 'Project Info'!$K$76="No"), "[Delete this row]", "Details in relation to C3-QD1-1-c")</f>
        <v>[Delete this row]</v>
      </c>
      <c r="C41" s="34"/>
      <c r="D41" s="294" t="str">
        <f t="array" ref="D41">IF(OR('Project Info'!$K$75="No", 'Project Info'!$K$76="No", 'Part 1_Core 3_D&amp;S'!$C$10="No"), "No", IF(INDEX(TBL_Q_05_PAS_C3_F[Response], MATCH(1, (TBL_REF_07_PAS_Open_CheckList[[#This Row],[Index_Ref]]=TBL_Q_05_PAS_C3_F[Index_Ref])*(TBL_REF_07_PAS_Open_CheckList[[#This Row],[Ref]]=TBL_Q_05_PAS_C3_F[Ref]),0))="Enclosed", "Yes", "No"))</f>
        <v>No</v>
      </c>
      <c r="E41" s="295" t="str">
        <f>IF(TBL_REF_07_PAS_Open_CheckList[[#This Row],[Required?]]="N/A", "", IF(TBL_REF_07_PAS_Open_CheckList[[#This Row],[Required?]]="No", "Shade", IF(TBL_REF_07_PAS_Open_CheckList[[#This Row],[Enclosed?]]&lt;&gt;"", "Done", "Add")))</f>
        <v>Shade</v>
      </c>
      <c r="F41" s="295" t="s">
        <v>1403</v>
      </c>
      <c r="G41" s="295" t="s">
        <v>1407</v>
      </c>
      <c r="H41" s="295" t="s">
        <v>1197</v>
      </c>
    </row>
    <row r="42" spans="1:8" hidden="1">
      <c r="A42" s="286" t="s">
        <v>1211</v>
      </c>
      <c r="B42" s="35" t="str">
        <f>IF(OR('Project Info'!$K$75="No", 'Project Info'!$K$76="No"), "[Delete this row]", "Details in relation to C3-QD1-1-d")</f>
        <v>[Delete this row]</v>
      </c>
      <c r="C42" s="34"/>
      <c r="D42" s="294" t="str">
        <f t="array" ref="D42">IF(OR('Project Info'!$K$75="No", 'Project Info'!$K$76="No", 'Part 1_Core 3_D&amp;S'!$C$10="No"), "No", IF(INDEX(TBL_Q_05_PAS_C3_F[Response], MATCH(1, (TBL_REF_07_PAS_Open_CheckList[[#This Row],[Index_Ref]]=TBL_Q_05_PAS_C3_F[Index_Ref])*(TBL_REF_07_PAS_Open_CheckList[[#This Row],[Ref]]=TBL_Q_05_PAS_C3_F[Ref]),0))="Enclosed", "Yes", "No"))</f>
        <v>No</v>
      </c>
      <c r="E42" s="295" t="str">
        <f>IF(TBL_REF_07_PAS_Open_CheckList[[#This Row],[Required?]]="N/A", "", IF(TBL_REF_07_PAS_Open_CheckList[[#This Row],[Required?]]="No", "Shade", IF(TBL_REF_07_PAS_Open_CheckList[[#This Row],[Enclosed?]]&lt;&gt;"", "Done", "Add")))</f>
        <v>Shade</v>
      </c>
      <c r="F42" s="295" t="s">
        <v>1403</v>
      </c>
      <c r="G42" s="295" t="s">
        <v>1408</v>
      </c>
      <c r="H42" s="295" t="s">
        <v>1198</v>
      </c>
    </row>
    <row r="43" spans="1:8" hidden="1">
      <c r="A43" s="286" t="s">
        <v>1211</v>
      </c>
      <c r="B43" s="35" t="str">
        <f>IF(OR('Project Info'!$K$75="No", 'Project Info'!$K$76="No"), "[Delete this row]", "Details in relation to C3-QD1-1-e")</f>
        <v>[Delete this row]</v>
      </c>
      <c r="C43" s="34"/>
      <c r="D43" s="294" t="str">
        <f t="array" ref="D43">IF(OR('Project Info'!$K$75="No", 'Project Info'!$K$76="No", 'Part 1_Core 3_D&amp;S'!$C$10="No"), "No", IF(INDEX(TBL_Q_05_PAS_C3_F[Response], MATCH(1, (TBL_REF_07_PAS_Open_CheckList[[#This Row],[Index_Ref]]=TBL_Q_05_PAS_C3_F[Index_Ref])*(TBL_REF_07_PAS_Open_CheckList[[#This Row],[Ref]]=TBL_Q_05_PAS_C3_F[Ref]),0))="Enclosed", "Yes", "No"))</f>
        <v>No</v>
      </c>
      <c r="E43" s="295" t="str">
        <f>IF(TBL_REF_07_PAS_Open_CheckList[[#This Row],[Required?]]="N/A", "", IF(TBL_REF_07_PAS_Open_CheckList[[#This Row],[Required?]]="No", "Shade", IF(TBL_REF_07_PAS_Open_CheckList[[#This Row],[Enclosed?]]&lt;&gt;"", "Done", "Add")))</f>
        <v>Shade</v>
      </c>
      <c r="F43" s="295" t="s">
        <v>1403</v>
      </c>
      <c r="G43" s="295" t="s">
        <v>1409</v>
      </c>
      <c r="H43" s="295" t="s">
        <v>1199</v>
      </c>
    </row>
    <row r="44" spans="1:8" hidden="1">
      <c r="A44" s="286" t="s">
        <v>1211</v>
      </c>
      <c r="B44" s="35" t="str">
        <f>IF(OR('Project Info'!$K$75="No", 'Project Info'!$K$76="No"), "[Delete this row]", "Details in relation to C3-QD1-1-f")</f>
        <v>[Delete this row]</v>
      </c>
      <c r="C44" s="34"/>
      <c r="D44" s="294" t="str">
        <f t="array" ref="D44">IF(OR('Project Info'!$K$75="No", 'Project Info'!$K$76="No", 'Part 1_Core 3_D&amp;S'!$C$10="No"), "No", IF(INDEX(TBL_Q_05_PAS_C3_F[Response], MATCH(1, (TBL_REF_07_PAS_Open_CheckList[[#This Row],[Index_Ref]]=TBL_Q_05_PAS_C3_F[Index_Ref])*(TBL_REF_07_PAS_Open_CheckList[[#This Row],[Ref]]=TBL_Q_05_PAS_C3_F[Ref]),0))="Enclosed", "Yes", "No"))</f>
        <v>No</v>
      </c>
      <c r="E44" s="295" t="str">
        <f>IF(TBL_REF_07_PAS_Open_CheckList[[#This Row],[Required?]]="N/A", "", IF(TBL_REF_07_PAS_Open_CheckList[[#This Row],[Required?]]="No", "Shade", IF(TBL_REF_07_PAS_Open_CheckList[[#This Row],[Enclosed?]]&lt;&gt;"", "Done", "Add")))</f>
        <v>Shade</v>
      </c>
      <c r="F44" s="295" t="s">
        <v>1403</v>
      </c>
      <c r="G44" s="295" t="s">
        <v>1410</v>
      </c>
      <c r="H44" s="295" t="s">
        <v>1200</v>
      </c>
    </row>
    <row r="45" spans="1:8" hidden="1">
      <c r="A45" s="286" t="s">
        <v>1211</v>
      </c>
      <c r="B45" s="35" t="str">
        <f>IF(OR('Project Info'!$K$75="No", 'Project Info'!$K$76="No"), "[Delete this row]", "Details in relation to C3-QD1-1-g-i")</f>
        <v>[Delete this row]</v>
      </c>
      <c r="C45" s="34"/>
      <c r="D45" s="294" t="str">
        <f t="array" ref="D45">IF(OR('Project Info'!$K$75="No", 'Project Info'!$K$76="No", 'Part 1_Core 3_D&amp;S'!$C$10="No"), "No", IF(INDEX(TBL_Q_05_PAS_C3_F[Response], MATCH(1, (TBL_REF_07_PAS_Open_CheckList[[#This Row],[Index_Ref]]=TBL_Q_05_PAS_C3_F[Index_Ref])*(TBL_REF_07_PAS_Open_CheckList[[#This Row],[Ref]]=TBL_Q_05_PAS_C3_F[Ref]),0))="Enclosed", "Yes", "No"))</f>
        <v>No</v>
      </c>
      <c r="E45" s="295" t="str">
        <f>IF(TBL_REF_07_PAS_Open_CheckList[[#This Row],[Required?]]="N/A", "", IF(TBL_REF_07_PAS_Open_CheckList[[#This Row],[Required?]]="No", "Shade", IF(TBL_REF_07_PAS_Open_CheckList[[#This Row],[Enclosed?]]&lt;&gt;"", "Done", "Add")))</f>
        <v>Shade</v>
      </c>
      <c r="F45" s="295" t="s">
        <v>1403</v>
      </c>
      <c r="G45" s="295" t="s">
        <v>1412</v>
      </c>
      <c r="H45" s="295" t="s">
        <v>1202</v>
      </c>
    </row>
    <row r="46" spans="1:8" hidden="1">
      <c r="A46" s="286" t="s">
        <v>1211</v>
      </c>
      <c r="B46" s="35" t="str">
        <f>IF(OR('Project Info'!$K$75="No", 'Project Info'!$K$76="No"), "[Delete this row]", "Details in relation to C3-QD1-1-g-ii")</f>
        <v>[Delete this row]</v>
      </c>
      <c r="C46" s="34"/>
      <c r="D46" s="294" t="str">
        <f t="array" ref="D46">IF(OR('Project Info'!$K$75="No", 'Project Info'!$K$76="No", 'Part 1_Core 3_D&amp;S'!$C$10="No"), "No", IF(INDEX(TBL_Q_05_PAS_C3_F[Response], MATCH(1, (TBL_REF_07_PAS_Open_CheckList[[#This Row],[Index_Ref]]=TBL_Q_05_PAS_C3_F[Index_Ref])*(TBL_REF_07_PAS_Open_CheckList[[#This Row],[Ref]]=TBL_Q_05_PAS_C3_F[Ref]),0))="Enclosed", "Yes", "No"))</f>
        <v>No</v>
      </c>
      <c r="E46" s="295" t="str">
        <f>IF(TBL_REF_07_PAS_Open_CheckList[[#This Row],[Required?]]="N/A", "", IF(TBL_REF_07_PAS_Open_CheckList[[#This Row],[Required?]]="No", "Shade", IF(TBL_REF_07_PAS_Open_CheckList[[#This Row],[Enclosed?]]&lt;&gt;"", "Done", "Add")))</f>
        <v>Shade</v>
      </c>
      <c r="F46" s="295" t="s">
        <v>1403</v>
      </c>
      <c r="G46" s="295" t="s">
        <v>1413</v>
      </c>
      <c r="H46" s="295" t="s">
        <v>1203</v>
      </c>
    </row>
    <row r="47" spans="1:8" hidden="1">
      <c r="A47" s="286" t="s">
        <v>1211</v>
      </c>
      <c r="B47" s="35" t="str">
        <f>IF(OR('Project Info'!$K$75="No", 'Project Info'!$K$76="No"), "[Delete this row]", "Details in relation to C3-QD1-1-g-iii")</f>
        <v>[Delete this row]</v>
      </c>
      <c r="C47" s="34"/>
      <c r="D47" s="294" t="str">
        <f t="array" ref="D47">IF(OR('Project Info'!$K$75="No", 'Project Info'!$K$76="No", 'Part 1_Core 3_D&amp;S'!$C$10="No"), "No", IF(INDEX(TBL_Q_05_PAS_C3_F[Response], MATCH(1, (TBL_REF_07_PAS_Open_CheckList[[#This Row],[Index_Ref]]=TBL_Q_05_PAS_C3_F[Index_Ref])*(TBL_REF_07_PAS_Open_CheckList[[#This Row],[Ref]]=TBL_Q_05_PAS_C3_F[Ref]),0))="Enclosed", "Yes", "No"))</f>
        <v>No</v>
      </c>
      <c r="E47" s="295" t="str">
        <f>IF(TBL_REF_07_PAS_Open_CheckList[[#This Row],[Required?]]="N/A", "", IF(TBL_REF_07_PAS_Open_CheckList[[#This Row],[Required?]]="No", "Shade", IF(TBL_REF_07_PAS_Open_CheckList[[#This Row],[Enclosed?]]&lt;&gt;"", "Done", "Add")))</f>
        <v>Shade</v>
      </c>
      <c r="F47" s="295" t="s">
        <v>1403</v>
      </c>
      <c r="G47" s="295" t="s">
        <v>1414</v>
      </c>
      <c r="H47" s="295" t="s">
        <v>1204</v>
      </c>
    </row>
    <row r="48" spans="1:8" hidden="1">
      <c r="A48" s="286" t="s">
        <v>1211</v>
      </c>
      <c r="B48" s="35" t="str">
        <f>IF(OR('Project Info'!$K$75="No", 'Project Info'!$K$76="No"), "[Delete this row]", "Details in relation to C3-QD1-1-g-iv")</f>
        <v>[Delete this row]</v>
      </c>
      <c r="C48" s="34"/>
      <c r="D48" s="294" t="str">
        <f t="array" ref="D48">IF(OR('Project Info'!$K$75="No", 'Project Info'!$K$76="No", 'Part 1_Core 3_D&amp;S'!$C$10="No"), "No", IF(INDEX(TBL_Q_05_PAS_C3_F[Response], MATCH(1, (TBL_REF_07_PAS_Open_CheckList[[#This Row],[Index_Ref]]=TBL_Q_05_PAS_C3_F[Index_Ref])*(TBL_REF_07_PAS_Open_CheckList[[#This Row],[Ref]]=TBL_Q_05_PAS_C3_F[Ref]),0))="Enclosed", "Yes", "No"))</f>
        <v>No</v>
      </c>
      <c r="E48" s="295" t="str">
        <f>IF(TBL_REF_07_PAS_Open_CheckList[[#This Row],[Required?]]="N/A", "", IF(TBL_REF_07_PAS_Open_CheckList[[#This Row],[Required?]]="No", "Shade", IF(TBL_REF_07_PAS_Open_CheckList[[#This Row],[Enclosed?]]&lt;&gt;"", "Done", "Add")))</f>
        <v>Shade</v>
      </c>
      <c r="F48" s="295" t="s">
        <v>1403</v>
      </c>
      <c r="G48" s="295" t="s">
        <v>1415</v>
      </c>
      <c r="H48" s="295" t="s">
        <v>1205</v>
      </c>
    </row>
    <row r="49" spans="1:8" hidden="1">
      <c r="A49" s="286" t="s">
        <v>1211</v>
      </c>
      <c r="B49" s="35" t="str">
        <f>IF(OR('Project Info'!$K$75="No", 'Project Info'!$K$76="No"), "[Delete this row]", "Details in relation to C3-QD1-1-g-v")</f>
        <v>[Delete this row]</v>
      </c>
      <c r="C49" s="34"/>
      <c r="D49" s="294" t="str">
        <f t="array" ref="D49">IF(OR('Project Info'!$K$75="No", 'Project Info'!$K$76="No", 'Part 1_Core 3_D&amp;S'!$C$10="No"), "No", IF(INDEX(TBL_Q_05_PAS_C3_F[Response], MATCH(1, (TBL_REF_07_PAS_Open_CheckList[[#This Row],[Index_Ref]]=TBL_Q_05_PAS_C3_F[Index_Ref])*(TBL_REF_07_PAS_Open_CheckList[[#This Row],[Ref]]=TBL_Q_05_PAS_C3_F[Ref]),0))="Enclosed", "Yes", "No"))</f>
        <v>No</v>
      </c>
      <c r="E49" s="295" t="str">
        <f>IF(TBL_REF_07_PAS_Open_CheckList[[#This Row],[Required?]]="N/A", "", IF(TBL_REF_07_PAS_Open_CheckList[[#This Row],[Required?]]="No", "Shade", IF(TBL_REF_07_PAS_Open_CheckList[[#This Row],[Enclosed?]]&lt;&gt;"", "Done", "Add")))</f>
        <v>Shade</v>
      </c>
      <c r="F49" s="295" t="s">
        <v>1403</v>
      </c>
      <c r="G49" s="295" t="s">
        <v>1416</v>
      </c>
      <c r="H49" s="295" t="s">
        <v>1206</v>
      </c>
    </row>
    <row r="50" spans="1:8" hidden="1">
      <c r="A50" s="286" t="s">
        <v>1211</v>
      </c>
      <c r="B50" s="35" t="str">
        <f>IF(OR('Project Info'!$K$75="No", 'Project Info'!$K$76="No"), "[Delete this row]", "Details in relation to C3-QD1-1-g-vi")</f>
        <v>[Delete this row]</v>
      </c>
      <c r="C50" s="34"/>
      <c r="D50" s="294" t="str">
        <f t="array" ref="D50">IF(OR('Project Info'!$K$75="No", 'Project Info'!$K$76="No", 'Part 1_Core 3_D&amp;S'!$C$10="No"), "No", IF(INDEX(TBL_Q_05_PAS_C3_F[Response], MATCH(1, (TBL_REF_07_PAS_Open_CheckList[[#This Row],[Index_Ref]]=TBL_Q_05_PAS_C3_F[Index_Ref])*(TBL_REF_07_PAS_Open_CheckList[[#This Row],[Ref]]=TBL_Q_05_PAS_C3_F[Ref]),0))="Enclosed", "Yes", "No"))</f>
        <v>No</v>
      </c>
      <c r="E50" s="295" t="str">
        <f>IF(TBL_REF_07_PAS_Open_CheckList[[#This Row],[Required?]]="N/A", "", IF(TBL_REF_07_PAS_Open_CheckList[[#This Row],[Required?]]="No", "Shade", IF(TBL_REF_07_PAS_Open_CheckList[[#This Row],[Enclosed?]]&lt;&gt;"", "Done", "Add")))</f>
        <v>Shade</v>
      </c>
      <c r="F50" s="295" t="s">
        <v>1403</v>
      </c>
      <c r="G50" s="295" t="s">
        <v>1417</v>
      </c>
      <c r="H50" s="295" t="s">
        <v>1207</v>
      </c>
    </row>
    <row r="51" spans="1:8" hidden="1">
      <c r="A51" s="286" t="s">
        <v>1211</v>
      </c>
      <c r="B51" s="35" t="str">
        <f>IF(OR('Project Info'!$K$75="No", 'Project Info'!$K$76="No"), "[Delete this row]", "Details in relation to C3-QD1-1-g-vii")</f>
        <v>[Delete this row]</v>
      </c>
      <c r="C51" s="34"/>
      <c r="D51" s="294" t="str">
        <f t="array" ref="D51">IF(OR('Project Info'!$K$75="No", 'Project Info'!$K$76="No", 'Part 1_Core 3_D&amp;S'!$C$10="No"), "No", IF(INDEX(TBL_Q_05_PAS_C3_F[Response], MATCH(1, (TBL_REF_07_PAS_Open_CheckList[[#This Row],[Index_Ref]]=TBL_Q_05_PAS_C3_F[Index_Ref])*(TBL_REF_07_PAS_Open_CheckList[[#This Row],[Ref]]=TBL_Q_05_PAS_C3_F[Ref]),0))="Enclosed", "Yes", "No"))</f>
        <v>No</v>
      </c>
      <c r="E51" s="295" t="str">
        <f>IF(TBL_REF_07_PAS_Open_CheckList[[#This Row],[Required?]]="N/A", "", IF(TBL_REF_07_PAS_Open_CheckList[[#This Row],[Required?]]="No", "Shade", IF(TBL_REF_07_PAS_Open_CheckList[[#This Row],[Enclosed?]]&lt;&gt;"", "Done", "Add")))</f>
        <v>Shade</v>
      </c>
      <c r="F51" s="295" t="s">
        <v>1403</v>
      </c>
      <c r="G51" s="295" t="s">
        <v>1418</v>
      </c>
      <c r="H51" s="295" t="s">
        <v>1223</v>
      </c>
    </row>
    <row r="52" spans="1:8" hidden="1">
      <c r="A52" s="286" t="s">
        <v>1211</v>
      </c>
      <c r="B52" s="35" t="str">
        <f>IF(OR('Project Info'!$K$75="No", 'Project Info'!$K$76="No"), "[Delete this row]", "Details in relation to C3-QD1-1-g-viii")</f>
        <v>[Delete this row]</v>
      </c>
      <c r="C52" s="34"/>
      <c r="D52" s="294" t="str">
        <f t="array" ref="D52">IF(OR('Project Info'!$K$75="No", 'Project Info'!$K$76="No", 'Part 1_Core 3_D&amp;S'!$C$10="No"), "No", IF(INDEX(TBL_Q_05_PAS_C3_F[Response], MATCH(1, (TBL_REF_07_PAS_Open_CheckList[[#This Row],[Index_Ref]]=TBL_Q_05_PAS_C3_F[Index_Ref])*(TBL_REF_07_PAS_Open_CheckList[[#This Row],[Ref]]=TBL_Q_05_PAS_C3_F[Ref]),0))="Enclosed", "Yes", "No"))</f>
        <v>No</v>
      </c>
      <c r="E52" s="295" t="str">
        <f>IF(TBL_REF_07_PAS_Open_CheckList[[#This Row],[Required?]]="N/A", "", IF(TBL_REF_07_PAS_Open_CheckList[[#This Row],[Required?]]="No", "Shade", IF(TBL_REF_07_PAS_Open_CheckList[[#This Row],[Enclosed?]]&lt;&gt;"", "Done", "Add")))</f>
        <v>Shade</v>
      </c>
      <c r="F52" s="295" t="s">
        <v>1403</v>
      </c>
      <c r="G52" s="295" t="s">
        <v>1419</v>
      </c>
      <c r="H52" s="295" t="s">
        <v>1224</v>
      </c>
    </row>
    <row r="53" spans="1:8" hidden="1">
      <c r="A53" s="286" t="s">
        <v>1211</v>
      </c>
      <c r="B53" s="35" t="str">
        <f>IF(OR('Project Info'!$K$75="No", 'Project Info'!$K$76="No"), "[Delete this row]", "Details in relation to C3-QD1-1-g-ix")</f>
        <v>[Delete this row]</v>
      </c>
      <c r="C53" s="34"/>
      <c r="D53" s="294" t="str">
        <f t="array" ref="D53">IF(OR('Project Info'!$K$75="No", 'Project Info'!$K$76="No", 'Part 1_Core 3_D&amp;S'!$C$10="No"), "No", IF(INDEX(TBL_Q_05_PAS_C3_F[Response], MATCH(1, (TBL_REF_07_PAS_Open_CheckList[[#This Row],[Index_Ref]]=TBL_Q_05_PAS_C3_F[Index_Ref])*(TBL_REF_07_PAS_Open_CheckList[[#This Row],[Ref]]=TBL_Q_05_PAS_C3_F[Ref]),0))="Enclosed", "Yes", "No"))</f>
        <v>No</v>
      </c>
      <c r="E53" s="295" t="str">
        <f>IF(TBL_REF_07_PAS_Open_CheckList[[#This Row],[Required?]]="N/A", "", IF(TBL_REF_07_PAS_Open_CheckList[[#This Row],[Required?]]="No", "Shade", IF(TBL_REF_07_PAS_Open_CheckList[[#This Row],[Enclosed?]]&lt;&gt;"", "Done", "Add")))</f>
        <v>Shade</v>
      </c>
      <c r="F53" s="295" t="s">
        <v>1403</v>
      </c>
      <c r="G53" s="295" t="s">
        <v>1420</v>
      </c>
      <c r="H53" s="295" t="s">
        <v>1225</v>
      </c>
    </row>
    <row r="54" spans="1:8" hidden="1">
      <c r="A54" s="286" t="s">
        <v>1211</v>
      </c>
      <c r="B54" s="35" t="str">
        <f>IF(OR('Project Info'!$K$75="No", 'Project Info'!$K$76="No"), "[Delete this row]", "Details in relation to C3-QD1-1-g-x")</f>
        <v>[Delete this row]</v>
      </c>
      <c r="C54" s="34"/>
      <c r="D54" s="294" t="str">
        <f t="array" ref="D54">IF(OR('Project Info'!$K$75="No", 'Project Info'!$K$76="No", 'Part 1_Core 3_D&amp;S'!$C$10="No"), "No", IF(INDEX(TBL_Q_05_PAS_C3_F[Response], MATCH(1, (TBL_REF_07_PAS_Open_CheckList[[#This Row],[Index_Ref]]=TBL_Q_05_PAS_C3_F[Index_Ref])*(TBL_REF_07_PAS_Open_CheckList[[#This Row],[Ref]]=TBL_Q_05_PAS_C3_F[Ref]),0))="Enclosed", "Yes", "No"))</f>
        <v>No</v>
      </c>
      <c r="E54" s="295" t="str">
        <f>IF(TBL_REF_07_PAS_Open_CheckList[[#This Row],[Required?]]="N/A", "", IF(TBL_REF_07_PAS_Open_CheckList[[#This Row],[Required?]]="No", "Shade", IF(TBL_REF_07_PAS_Open_CheckList[[#This Row],[Enclosed?]]&lt;&gt;"", "Done", "Add")))</f>
        <v>Shade</v>
      </c>
      <c r="F54" s="295" t="s">
        <v>1403</v>
      </c>
      <c r="G54" s="295" t="s">
        <v>1421</v>
      </c>
      <c r="H54" s="295" t="s">
        <v>1226</v>
      </c>
    </row>
    <row r="55" spans="1:8" hidden="1">
      <c r="A55" s="286" t="s">
        <v>1211</v>
      </c>
      <c r="B55" s="35" t="str">
        <f>IF(OR('Project Info'!$K$75="No", 'Project Info'!$K$76="No"), "[Delete this row]", "Details in relation to C3-QD1-1-g-xi")</f>
        <v>[Delete this row]</v>
      </c>
      <c r="C55" s="34"/>
      <c r="D55" s="294" t="str">
        <f t="array" ref="D55">IF(OR('Project Info'!$K$75="No", 'Project Info'!$K$76="No", 'Part 1_Core 3_D&amp;S'!$C$10="No"), "No", IF(INDEX(TBL_Q_05_PAS_C3_F[Response], MATCH(1, (TBL_REF_07_PAS_Open_CheckList[[#This Row],[Index_Ref]]=TBL_Q_05_PAS_C3_F[Index_Ref])*(TBL_REF_07_PAS_Open_CheckList[[#This Row],[Ref]]=TBL_Q_05_PAS_C3_F[Ref]),0))="Enclosed", "Yes", "No"))</f>
        <v>No</v>
      </c>
      <c r="E55" s="295" t="str">
        <f>IF(TBL_REF_07_PAS_Open_CheckList[[#This Row],[Required?]]="N/A", "", IF(TBL_REF_07_PAS_Open_CheckList[[#This Row],[Required?]]="No", "Shade", IF(TBL_REF_07_PAS_Open_CheckList[[#This Row],[Enclosed?]]&lt;&gt;"", "Done", "Add")))</f>
        <v>Shade</v>
      </c>
      <c r="F55" s="295" t="s">
        <v>1403</v>
      </c>
      <c r="G55" s="295" t="s">
        <v>1422</v>
      </c>
      <c r="H55" s="295" t="s">
        <v>1227</v>
      </c>
    </row>
    <row r="56" spans="1:8" hidden="1">
      <c r="A56" s="286" t="s">
        <v>1211</v>
      </c>
      <c r="B56" s="35" t="str">
        <f>IF(OR('Project Info'!$K$75="No", 'Project Info'!$K$76="No"), "[Delete this row]", "Details in relation to C3-QD1-1-g-xii")</f>
        <v>[Delete this row]</v>
      </c>
      <c r="C56" s="34"/>
      <c r="D56" s="294" t="str">
        <f t="array" ref="D56">IF(OR('Project Info'!$K$75="No", 'Project Info'!$K$76="No", 'Part 1_Core 3_D&amp;S'!$C$10="No"), "No", IF(INDEX(TBL_Q_05_PAS_C3_F[Response], MATCH(1, (TBL_REF_07_PAS_Open_CheckList[[#This Row],[Index_Ref]]=TBL_Q_05_PAS_C3_F[Index_Ref])*(TBL_REF_07_PAS_Open_CheckList[[#This Row],[Ref]]=TBL_Q_05_PAS_C3_F[Ref]),0))="Enclosed", "Yes", "No"))</f>
        <v>No</v>
      </c>
      <c r="E56" s="295" t="str">
        <f>IF(TBL_REF_07_PAS_Open_CheckList[[#This Row],[Required?]]="N/A", "", IF(TBL_REF_07_PAS_Open_CheckList[[#This Row],[Required?]]="No", "Shade", IF(TBL_REF_07_PAS_Open_CheckList[[#This Row],[Enclosed?]]&lt;&gt;"", "Done", "Add")))</f>
        <v>Shade</v>
      </c>
      <c r="F56" s="295" t="s">
        <v>1403</v>
      </c>
      <c r="G56" s="295" t="s">
        <v>1423</v>
      </c>
      <c r="H56" s="295" t="s">
        <v>1228</v>
      </c>
    </row>
    <row r="57" spans="1:8" hidden="1">
      <c r="A57" s="286" t="s">
        <v>1211</v>
      </c>
      <c r="B57" s="35" t="str">
        <f>IF(OR('Project Info'!$K$75="No", 'Project Info'!$K$76="No"), "[Delete this row]", "Details in relation to C3-QD1-1-h")</f>
        <v>[Delete this row]</v>
      </c>
      <c r="C57" s="34"/>
      <c r="D57" s="294" t="str">
        <f t="array" ref="D57">IF(OR('Project Info'!$K$75="No", 'Project Info'!$K$76="No", 'Part 1_Core 3_D&amp;S'!$C$10="No"), "No", IF(INDEX(TBL_Q_05_PAS_C3_F[Response], MATCH(1, (TBL_REF_07_PAS_Open_CheckList[[#This Row],[Index_Ref]]=TBL_Q_05_PAS_C3_F[Index_Ref])*(TBL_REF_07_PAS_Open_CheckList[[#This Row],[Ref]]=TBL_Q_05_PAS_C3_F[Ref]),0))="Enclosed", "Yes", "No"))</f>
        <v>No</v>
      </c>
      <c r="E57" s="295" t="str">
        <f>IF(TBL_REF_07_PAS_Open_CheckList[[#This Row],[Required?]]="N/A", "", IF(TBL_REF_07_PAS_Open_CheckList[[#This Row],[Required?]]="No", "Shade", IF(TBL_REF_07_PAS_Open_CheckList[[#This Row],[Enclosed?]]&lt;&gt;"", "Done", "Add")))</f>
        <v>Shade</v>
      </c>
      <c r="F57" s="295" t="s">
        <v>1403</v>
      </c>
      <c r="G57" s="295" t="s">
        <v>1424</v>
      </c>
      <c r="H57" s="295" t="s">
        <v>1229</v>
      </c>
    </row>
    <row r="58" spans="1:8" hidden="1">
      <c r="A58" s="286" t="s">
        <v>1211</v>
      </c>
      <c r="B58" s="35" t="str">
        <f>IF(OR('Project Info'!$K$75="No", 'Project Info'!$K$76="No"), "[Delete this row]", "Details in relation to C3-QD1-1-i")</f>
        <v>[Delete this row]</v>
      </c>
      <c r="C58" s="34"/>
      <c r="D58" s="294" t="str">
        <f t="array" ref="D58">IF(OR('Project Info'!$K$75="No", 'Project Info'!$K$76="No", 'Part 1_Core 3_D&amp;S'!$C$10="No"), "No", IF(INDEX(TBL_Q_05_PAS_C3_F[Response], MATCH(1, (TBL_REF_07_PAS_Open_CheckList[[#This Row],[Index_Ref]]=TBL_Q_05_PAS_C3_F[Index_Ref])*(TBL_REF_07_PAS_Open_CheckList[[#This Row],[Ref]]=TBL_Q_05_PAS_C3_F[Ref]),0))="Enclosed", "Yes", "No"))</f>
        <v>No</v>
      </c>
      <c r="E58" s="295" t="str">
        <f>IF(TBL_REF_07_PAS_Open_CheckList[[#This Row],[Required?]]="N/A", "", IF(TBL_REF_07_PAS_Open_CheckList[[#This Row],[Required?]]="No", "Shade", IF(TBL_REF_07_PAS_Open_CheckList[[#This Row],[Enclosed?]]&lt;&gt;"", "Done", "Add")))</f>
        <v>Shade</v>
      </c>
      <c r="F58" s="295" t="s">
        <v>1403</v>
      </c>
      <c r="G58" s="295" t="s">
        <v>1425</v>
      </c>
      <c r="H58" s="295" t="s">
        <v>1230</v>
      </c>
    </row>
    <row r="59" spans="1:8" hidden="1">
      <c r="A59" s="286" t="s">
        <v>1211</v>
      </c>
      <c r="B59" s="35" t="str">
        <f>IF(OR('Project Info'!$K$75="No", 'Project Info'!$K$76="No"), "[Delete this row]", "Details in relation to C3-QD1-1-j")</f>
        <v>[Delete this row]</v>
      </c>
      <c r="C59" s="34"/>
      <c r="D59" s="294" t="str">
        <f t="array" ref="D59">IF(OR('Project Info'!$K$75="No", 'Project Info'!$K$76="No", 'Part 1_Core 3_D&amp;S'!$C$10="No"), "No", IF(INDEX(TBL_Q_05_PAS_C3_F[Response], MATCH(1, (TBL_REF_07_PAS_Open_CheckList[[#This Row],[Index_Ref]]=TBL_Q_05_PAS_C3_F[Index_Ref])*(TBL_REF_07_PAS_Open_CheckList[[#This Row],[Ref]]=TBL_Q_05_PAS_C3_F[Ref]),0))="Enclosed", "Yes", "No"))</f>
        <v>No</v>
      </c>
      <c r="E59" s="295" t="str">
        <f>IF(TBL_REF_07_PAS_Open_CheckList[[#This Row],[Required?]]="N/A", "", IF(TBL_REF_07_PAS_Open_CheckList[[#This Row],[Required?]]="No", "Shade", IF(TBL_REF_07_PAS_Open_CheckList[[#This Row],[Enclosed?]]&lt;&gt;"", "Done", "Add")))</f>
        <v>Shade</v>
      </c>
      <c r="F59" s="295" t="s">
        <v>1403</v>
      </c>
      <c r="G59" s="295" t="s">
        <v>1426</v>
      </c>
      <c r="H59" s="295" t="s">
        <v>1231</v>
      </c>
    </row>
    <row r="60" spans="1:8" hidden="1">
      <c r="A60" s="286" t="s">
        <v>1211</v>
      </c>
      <c r="B60" s="35" t="str">
        <f>IF(OR('Project Info'!$K$75="No", 'Project Info'!$K$76="No"), "[Delete this row]", "Details in relation to C3-QD1-1-k")</f>
        <v>[Delete this row]</v>
      </c>
      <c r="C60" s="34"/>
      <c r="D60" s="294" t="str">
        <f t="array" ref="D60">IF(OR('Project Info'!$K$75="No", 'Project Info'!$K$76="No", 'Part 1_Core 3_D&amp;S'!$C$10="No"), "No", IF(INDEX(TBL_Q_05_PAS_C3_F[Response], MATCH(1, (TBL_REF_07_PAS_Open_CheckList[[#This Row],[Index_Ref]]=TBL_Q_05_PAS_C3_F[Index_Ref])*(TBL_REF_07_PAS_Open_CheckList[[#This Row],[Ref]]=TBL_Q_05_PAS_C3_F[Ref]),0))="Enclosed", "Yes", "No"))</f>
        <v>No</v>
      </c>
      <c r="E60" s="295" t="str">
        <f>IF(TBL_REF_07_PAS_Open_CheckList[[#This Row],[Required?]]="N/A", "", IF(TBL_REF_07_PAS_Open_CheckList[[#This Row],[Required?]]="No", "Shade", IF(TBL_REF_07_PAS_Open_CheckList[[#This Row],[Enclosed?]]&lt;&gt;"", "Done", "Add")))</f>
        <v>Shade</v>
      </c>
      <c r="F60" s="295" t="s">
        <v>1403</v>
      </c>
      <c r="G60" s="295" t="s">
        <v>1427</v>
      </c>
      <c r="H60" s="295" t="s">
        <v>1232</v>
      </c>
    </row>
    <row r="61" spans="1:8" hidden="1">
      <c r="A61" s="286" t="s">
        <v>1211</v>
      </c>
      <c r="B61" s="35" t="str">
        <f>IF(OR('Project Info'!$K$75="No", 'Project Info'!$K$76="No"), "[Delete this row]", "Details in relation to C3-QD1-1-l")</f>
        <v>[Delete this row]</v>
      </c>
      <c r="C61" s="34"/>
      <c r="D61" s="294" t="str">
        <f t="array" ref="D61">IF(OR('Project Info'!$K$75="No", 'Project Info'!$K$76="No", 'Part 1_Core 3_D&amp;S'!$C$10="No"), "No", IF(INDEX(TBL_Q_05_PAS_C3_F[Response], MATCH(1, (TBL_REF_07_PAS_Open_CheckList[[#This Row],[Index_Ref]]=TBL_Q_05_PAS_C3_F[Index_Ref])*(TBL_REF_07_PAS_Open_CheckList[[#This Row],[Ref]]=TBL_Q_05_PAS_C3_F[Ref]),0))="Enclosed", "Yes", "No"))</f>
        <v>No</v>
      </c>
      <c r="E61" s="295" t="str">
        <f>IF(TBL_REF_07_PAS_Open_CheckList[[#This Row],[Required?]]="N/A", "", IF(TBL_REF_07_PAS_Open_CheckList[[#This Row],[Required?]]="No", "Shade", IF(TBL_REF_07_PAS_Open_CheckList[[#This Row],[Enclosed?]]&lt;&gt;"", "Done", "Add")))</f>
        <v>Shade</v>
      </c>
      <c r="F61" s="295" t="s">
        <v>1403</v>
      </c>
      <c r="G61" s="295" t="s">
        <v>1428</v>
      </c>
      <c r="H61" s="295" t="s">
        <v>1233</v>
      </c>
    </row>
    <row r="62" spans="1:8" hidden="1">
      <c r="A62" s="286" t="s">
        <v>1209</v>
      </c>
      <c r="B62" s="35" t="str">
        <f>IF(OR('Project Info'!$K$75="No", 'Project Info'!$K$76="No"), "[Delete this row]", "Details in relation to C3-QD2-1-a")</f>
        <v>[Delete this row]</v>
      </c>
      <c r="C62" s="34"/>
      <c r="D62" s="294" t="str">
        <f t="array" ref="D62">IF(OR('Project Info'!$K$75="No", 'Project Info'!$K$76="No"), "No", IF(INDEX(TBL_Q_05_PAS_C3_H[Response], MATCH(1, (TBL_REF_07_PAS_Open_CheckList[[#This Row],[Index_Ref]]=TBL_Q_05_PAS_C3_H[Index_Ref])*(TBL_REF_07_PAS_Open_CheckList[[#This Row],[Ref]]=TBL_Q_05_PAS_C3_H[Ref]),0))="Enclosed", "Yes", "No"))</f>
        <v>No</v>
      </c>
      <c r="E62" s="295" t="str">
        <f>IF(TBL_REF_07_PAS_Open_CheckList[[#This Row],[Required?]]="N/A", "", IF(TBL_REF_07_PAS_Open_CheckList[[#This Row],[Required?]]="No", "Shade", IF(TBL_REF_07_PAS_Open_CheckList[[#This Row],[Enclosed?]]&lt;&gt;"", "Done", "Add")))</f>
        <v>Shade</v>
      </c>
      <c r="F62" s="295" t="s">
        <v>1404</v>
      </c>
      <c r="G62" s="295" t="s">
        <v>1212</v>
      </c>
      <c r="H62" s="295" t="s">
        <v>1247</v>
      </c>
    </row>
    <row r="63" spans="1:8" hidden="1">
      <c r="A63" s="286" t="s">
        <v>1209</v>
      </c>
      <c r="B63" s="35" t="str">
        <f>IF(OR('Project Info'!$K$75="No", 'Project Info'!$K$76="No"), "[Delete this row]", "Details in relation to C3-QD2-1-b")</f>
        <v>[Delete this row]</v>
      </c>
      <c r="C63" s="34"/>
      <c r="D63" s="294" t="str">
        <f t="array" ref="D63">IF(OR('Project Info'!$K$75="No", 'Project Info'!$K$76="No"), "No", IF(INDEX(TBL_Q_05_PAS_C3_H[Response], MATCH(1, (TBL_REF_07_PAS_Open_CheckList[[#This Row],[Index_Ref]]=TBL_Q_05_PAS_C3_H[Index_Ref])*(TBL_REF_07_PAS_Open_CheckList[[#This Row],[Ref]]=TBL_Q_05_PAS_C3_H[Ref]),0))="Enclosed", "Yes", "No"))</f>
        <v>No</v>
      </c>
      <c r="E63" s="295" t="str">
        <f>IF(TBL_REF_07_PAS_Open_CheckList[[#This Row],[Required?]]="N/A", "", IF(TBL_REF_07_PAS_Open_CheckList[[#This Row],[Required?]]="No", "Shade", IF(TBL_REF_07_PAS_Open_CheckList[[#This Row],[Enclosed?]]&lt;&gt;"", "Done", "Add")))</f>
        <v>Shade</v>
      </c>
      <c r="F63" s="295" t="s">
        <v>1404</v>
      </c>
      <c r="G63" s="295" t="s">
        <v>1213</v>
      </c>
      <c r="H63" s="295" t="s">
        <v>1248</v>
      </c>
    </row>
    <row r="64" spans="1:8" hidden="1">
      <c r="A64" s="286" t="s">
        <v>1209</v>
      </c>
      <c r="B64" s="35" t="str">
        <f>IF(OR('Project Info'!$K$75="No", 'Project Info'!$K$76="No"), "[Delete this row]", "Details in relation to C3-QD2-1-c")</f>
        <v>[Delete this row]</v>
      </c>
      <c r="C64" s="34"/>
      <c r="D64" s="294" t="str">
        <f t="array" ref="D64">IF(OR('Project Info'!$K$75="No", 'Project Info'!$K$76="No"), "No", IF(INDEX(TBL_Q_05_PAS_C3_H[Response], MATCH(1, (TBL_REF_07_PAS_Open_CheckList[[#This Row],[Index_Ref]]=TBL_Q_05_PAS_C3_H[Index_Ref])*(TBL_REF_07_PAS_Open_CheckList[[#This Row],[Ref]]=TBL_Q_05_PAS_C3_H[Ref]),0))="Enclosed", "Yes", "No"))</f>
        <v>No</v>
      </c>
      <c r="E64" s="295" t="str">
        <f>IF(TBL_REF_07_PAS_Open_CheckList[[#This Row],[Required?]]="N/A", "", IF(TBL_REF_07_PAS_Open_CheckList[[#This Row],[Required?]]="No", "Shade", IF(TBL_REF_07_PAS_Open_CheckList[[#This Row],[Enclosed?]]&lt;&gt;"", "Done", "Add")))</f>
        <v>Shade</v>
      </c>
      <c r="F64" s="295" t="s">
        <v>1404</v>
      </c>
      <c r="G64" s="295" t="s">
        <v>1214</v>
      </c>
      <c r="H64" s="295" t="s">
        <v>1249</v>
      </c>
    </row>
    <row r="65" spans="1:8" hidden="1">
      <c r="A65" s="286" t="s">
        <v>1209</v>
      </c>
      <c r="B65" s="35" t="str">
        <f>IF(OR('Project Info'!$K$75="No", 'Project Info'!$K$76="No"), "[Delete this row]", "Details in relation to C3-QD2-1-a")</f>
        <v>[Delete this row]</v>
      </c>
      <c r="C65" s="34"/>
      <c r="D65" s="294" t="str">
        <f t="array" ref="D65">IF(OR('Project Info'!$K$75="No", 'Project Info'!$K$76="No"), "No", IF(INDEX(TBL_Q_05_PAS_C3_I[Response], MATCH(1, (TBL_REF_07_PAS_Open_CheckList[[#This Row],[Index_Ref]]=TBL_Q_05_PAS_C3_I[Index_Ref])*(TBL_REF_07_PAS_Open_CheckList[[#This Row],[Ref]]=TBL_Q_05_PAS_C3_I[Ref]),0))="Enclosed", "Yes", "No"))</f>
        <v>No</v>
      </c>
      <c r="E65" s="295" t="str">
        <f>IF(TBL_REF_07_PAS_Open_CheckList[[#This Row],[Required?]]="N/A", "", IF(TBL_REF_07_PAS_Open_CheckList[[#This Row],[Required?]]="No", "Shade", IF(TBL_REF_07_PAS_Open_CheckList[[#This Row],[Enclosed?]]&lt;&gt;"", "Done", "Add")))</f>
        <v>Shade</v>
      </c>
      <c r="F65" s="295" t="s">
        <v>1430</v>
      </c>
      <c r="G65" s="295" t="s">
        <v>1279</v>
      </c>
      <c r="H65" s="295" t="s">
        <v>1257</v>
      </c>
    </row>
    <row r="66" spans="1:8" hidden="1">
      <c r="A66" s="286" t="s">
        <v>1209</v>
      </c>
      <c r="B66" s="35" t="str">
        <f>IF(OR('Project Info'!$K$75="No", 'Project Info'!$K$76="No"), "[Delete this row]", "Details in relation to C3-QD2-1-b")</f>
        <v>[Delete this row]</v>
      </c>
      <c r="C66" s="34"/>
      <c r="D66" s="294" t="str">
        <f t="array" ref="D66">IF(OR('Project Info'!$K$75="No", 'Project Info'!$K$76="No"), "No", IF(INDEX(TBL_Q_05_PAS_C3_I[Response], MATCH(1, (TBL_REF_07_PAS_Open_CheckList[[#This Row],[Index_Ref]]=TBL_Q_05_PAS_C3_I[Index_Ref])*(TBL_REF_07_PAS_Open_CheckList[[#This Row],[Ref]]=TBL_Q_05_PAS_C3_I[Ref]),0))="Enclosed", "Yes", "No"))</f>
        <v>No</v>
      </c>
      <c r="E66" s="295" t="str">
        <f>IF(TBL_REF_07_PAS_Open_CheckList[[#This Row],[Required?]]="N/A", "", IF(TBL_REF_07_PAS_Open_CheckList[[#This Row],[Required?]]="No", "Shade", IF(TBL_REF_07_PAS_Open_CheckList[[#This Row],[Enclosed?]]&lt;&gt;"", "Done", "Add")))</f>
        <v>Shade</v>
      </c>
      <c r="F66" s="295" t="s">
        <v>1430</v>
      </c>
      <c r="G66" s="295" t="s">
        <v>1280</v>
      </c>
      <c r="H66" s="295" t="s">
        <v>1263</v>
      </c>
    </row>
    <row r="67" spans="1:8" hidden="1">
      <c r="A67" s="286" t="s">
        <v>1209</v>
      </c>
      <c r="B67" s="35" t="str">
        <f>IF(OR('Project Info'!$K$75="No", 'Project Info'!$K$76="No"), "[Delete this row]", "Details in relation to C3-QD2-1-c")</f>
        <v>[Delete this row]</v>
      </c>
      <c r="C67" s="34"/>
      <c r="D67" s="294" t="str">
        <f t="array" ref="D67">IF(OR('Project Info'!$K$75="No", 'Project Info'!$K$76="No"), "No", IF(INDEX(TBL_Q_05_PAS_C3_I[Response], MATCH(1, (TBL_REF_07_PAS_Open_CheckList[[#This Row],[Index_Ref]]=TBL_Q_05_PAS_C3_I[Index_Ref])*(TBL_REF_07_PAS_Open_CheckList[[#This Row],[Ref]]=TBL_Q_05_PAS_C3_I[Ref]),0))="Enclosed", "Yes", "No"))</f>
        <v>No</v>
      </c>
      <c r="E67" s="295" t="str">
        <f>IF(TBL_REF_07_PAS_Open_CheckList[[#This Row],[Required?]]="N/A", "", IF(TBL_REF_07_PAS_Open_CheckList[[#This Row],[Required?]]="No", "Shade", IF(TBL_REF_07_PAS_Open_CheckList[[#This Row],[Enclosed?]]&lt;&gt;"", "Done", "Add")))</f>
        <v>Shade</v>
      </c>
      <c r="F67" s="295" t="s">
        <v>1430</v>
      </c>
      <c r="G67" s="295" t="s">
        <v>1281</v>
      </c>
      <c r="H67" s="295" t="s">
        <v>1264</v>
      </c>
    </row>
    <row r="68" spans="1:8" hidden="1">
      <c r="A68" s="286" t="s">
        <v>1209</v>
      </c>
      <c r="B68" s="35" t="str">
        <f>IF(OR('Project Info'!$K$75="No", 'Project Info'!$K$76="No"), "[Delete this row]", "Details in relation to C3-QD2-1-d")</f>
        <v>[Delete this row]</v>
      </c>
      <c r="C68" s="34"/>
      <c r="D68" s="294" t="str">
        <f t="array" ref="D68">IF(OR('Project Info'!$K$75="No", 'Project Info'!$K$76="No"), "No", IF(INDEX(TBL_Q_05_PAS_C3_I[Response], MATCH(1, (TBL_REF_07_PAS_Open_CheckList[[#This Row],[Index_Ref]]=TBL_Q_05_PAS_C3_I[Index_Ref])*(TBL_REF_07_PAS_Open_CheckList[[#This Row],[Ref]]=TBL_Q_05_PAS_C3_I[Ref]),0))="Enclosed", "Yes", "No"))</f>
        <v>No</v>
      </c>
      <c r="E68" s="295" t="str">
        <f>IF(TBL_REF_07_PAS_Open_CheckList[[#This Row],[Required?]]="N/A", "", IF(TBL_REF_07_PAS_Open_CheckList[[#This Row],[Required?]]="No", "Shade", IF(TBL_REF_07_PAS_Open_CheckList[[#This Row],[Enclosed?]]&lt;&gt;"", "Done", "Add")))</f>
        <v>Shade</v>
      </c>
      <c r="F68" s="295" t="s">
        <v>1430</v>
      </c>
      <c r="G68" s="295" t="s">
        <v>1282</v>
      </c>
      <c r="H68" s="295" t="s">
        <v>1265</v>
      </c>
    </row>
    <row r="69" spans="1:8" hidden="1">
      <c r="A69" s="286" t="s">
        <v>1209</v>
      </c>
      <c r="B69" s="35" t="str">
        <f>IF(OR('Project Info'!$K$75="No", 'Project Info'!$K$76="No"), "[Delete this row]", "Details in relation to C3-QD2-1-e")</f>
        <v>[Delete this row]</v>
      </c>
      <c r="C69" s="34"/>
      <c r="D69" s="294" t="str">
        <f t="array" ref="D69">IF(OR('Project Info'!$K$75="No", 'Project Info'!$K$76="No"), "No", IF(INDEX(TBL_Q_05_PAS_C3_I[Response], MATCH(1, (TBL_REF_07_PAS_Open_CheckList[[#This Row],[Index_Ref]]=TBL_Q_05_PAS_C3_I[Index_Ref])*(TBL_REF_07_PAS_Open_CheckList[[#This Row],[Ref]]=TBL_Q_05_PAS_C3_I[Ref]),0))="Enclosed", "Yes", "No"))</f>
        <v>No</v>
      </c>
      <c r="E69" s="295" t="str">
        <f>IF(TBL_REF_07_PAS_Open_CheckList[[#This Row],[Required?]]="N/A", "", IF(TBL_REF_07_PAS_Open_CheckList[[#This Row],[Required?]]="No", "Shade", IF(TBL_REF_07_PAS_Open_CheckList[[#This Row],[Enclosed?]]&lt;&gt;"", "Done", "Add")))</f>
        <v>Shade</v>
      </c>
      <c r="F69" s="295" t="s">
        <v>1430</v>
      </c>
      <c r="G69" s="295" t="s">
        <v>1283</v>
      </c>
      <c r="H69" s="295" t="s">
        <v>1266</v>
      </c>
    </row>
    <row r="70" spans="1:8" hidden="1">
      <c r="A70" s="286" t="s">
        <v>836</v>
      </c>
      <c r="B70" s="35" t="str">
        <f>IF('Project Info'!$K$75="Yes", "[Delete this row]", "Details in relation to C3-Q1")</f>
        <v>[Delete this row]</v>
      </c>
      <c r="C70" s="34"/>
      <c r="D70" s="294" t="str">
        <f t="array" ref="D70">IF('Project Info'!$K$75="No", INDEX(#REF!, MATCH(1, (TBL_REF_07_PAS_Open_CheckList[[#This Row],[Index_Ref]]=#REF!)*(TBL_REF_07_PAS_Open_CheckList[[#This Row],[Ref]]=#REF!),0)), "No")</f>
        <v>No</v>
      </c>
      <c r="E70" s="295" t="str">
        <f>IF(TBL_REF_07_PAS_Open_CheckList[[#This Row],[Required?]]="N/A", "", IF(TBL_REF_07_PAS_Open_CheckList[[#This Row],[Required?]]="No", "Shade", IF(TBL_REF_07_PAS_Open_CheckList[[#This Row],[Enclosed?]]&lt;&gt;"", "Done", "Add")))</f>
        <v>Shade</v>
      </c>
      <c r="F70" s="295" t="s">
        <v>1431</v>
      </c>
      <c r="G70" s="295" t="s">
        <v>836</v>
      </c>
      <c r="H70" s="295" t="s">
        <v>1267</v>
      </c>
    </row>
    <row r="71" spans="1:8" hidden="1">
      <c r="A71" s="286" t="s">
        <v>842</v>
      </c>
      <c r="B71" s="35" t="str">
        <f>IF('Project Info'!$K$75="Yes", "[Delete this row]", "Details in relation to C3-Q2")</f>
        <v>[Delete this row]</v>
      </c>
      <c r="C71" s="34"/>
      <c r="D71" s="294" t="str">
        <f t="array" ref="D71">IF('Project Info'!$K$75="No", INDEX(#REF!, MATCH(1, (TBL_REF_07_PAS_Open_CheckList[[#This Row],[Index_Ref]]=#REF!)*(TBL_REF_07_PAS_Open_CheckList[[#This Row],[Ref]]=#REF!),0)), "No")</f>
        <v>No</v>
      </c>
      <c r="E71" s="295" t="str">
        <f>IF(TBL_REF_07_PAS_Open_CheckList[[#This Row],[Required?]]="N/A", "", IF(TBL_REF_07_PAS_Open_CheckList[[#This Row],[Required?]]="No", "Shade", IF(TBL_REF_07_PAS_Open_CheckList[[#This Row],[Enclosed?]]&lt;&gt;"", "Done", "Add")))</f>
        <v>Shade</v>
      </c>
      <c r="F71" s="295" t="s">
        <v>1431</v>
      </c>
      <c r="G71" s="295" t="s">
        <v>842</v>
      </c>
      <c r="H71" s="295" t="s">
        <v>1268</v>
      </c>
    </row>
    <row r="72" spans="1:8" hidden="1">
      <c r="A72" s="286" t="s">
        <v>843</v>
      </c>
      <c r="B72" s="35" t="str">
        <f>IF('Project Info'!$K$75="Yes", "[Delete this row]", "Details in relation to C3-Q3")</f>
        <v>[Delete this row]</v>
      </c>
      <c r="C72" s="34"/>
      <c r="D72" s="294" t="str">
        <f t="array" ref="D72">IF('Project Info'!$K$75="No", INDEX(#REF!, MATCH(1, (TBL_REF_07_PAS_Open_CheckList[[#This Row],[Index_Ref]]=#REF!)*(TBL_REF_07_PAS_Open_CheckList[[#This Row],[Ref]]=#REF!),0)), "No")</f>
        <v>No</v>
      </c>
      <c r="E72" s="295" t="str">
        <f>IF(TBL_REF_07_PAS_Open_CheckList[[#This Row],[Required?]]="N/A", "", IF(TBL_REF_07_PAS_Open_CheckList[[#This Row],[Required?]]="No", "Shade", IF(TBL_REF_07_PAS_Open_CheckList[[#This Row],[Enclosed?]]&lt;&gt;"", "Done", "Add")))</f>
        <v>Shade</v>
      </c>
      <c r="F72" s="295" t="s">
        <v>1431</v>
      </c>
      <c r="G72" s="295" t="s">
        <v>843</v>
      </c>
      <c r="H72" s="295" t="s">
        <v>1269</v>
      </c>
    </row>
    <row r="73" spans="1:8" ht="15.5" hidden="1">
      <c r="A73" s="288" t="s">
        <v>143</v>
      </c>
      <c r="B73" s="289" t="s">
        <v>1441</v>
      </c>
      <c r="C73" s="290"/>
      <c r="D73" s="294" t="s">
        <v>24</v>
      </c>
      <c r="E73" s="295" t="str">
        <f>IF(TBL_REF_07_PAS_Open_CheckList[[#This Row],[Required?]]="N/A", "", IF(TBL_REF_07_PAS_Open_CheckList[[#This Row],[Required?]]="No", "Shade", IF(TBL_REF_07_PAS_Open_CheckList[[#This Row],[Enclosed?]]&lt;&gt;"", "Done", "Add")))</f>
        <v/>
      </c>
      <c r="F73" s="295"/>
      <c r="G73" s="295"/>
      <c r="H73" s="295"/>
    </row>
    <row r="74" spans="1:8" hidden="1">
      <c r="A74" s="286" t="s">
        <v>847</v>
      </c>
      <c r="B74" s="35" t="s">
        <v>1433</v>
      </c>
      <c r="C74" s="34"/>
      <c r="D74" s="294" t="str">
        <f t="array" ref="D74">IF(INDEX(TBL_Q_05_PAS_C4_B[Yes or No?], MATCH(1, (TBL_REF_07_PAS_Open_CheckList[[#This Row],[Index_Ref]]=TBL_Q_05_PAS_C4_B[Index_Ref])*(TBL_REF_07_PAS_Open_CheckList[[#This Row],[Ref]]=TBL_Q_05_PAS_C4_B[Ref]),0))="Yes", "Yes", "No")</f>
        <v>No</v>
      </c>
      <c r="E74" s="295" t="str">
        <f>IF(TBL_REF_07_PAS_Open_CheckList[[#This Row],[Required?]]="N/A", "", IF(TBL_REF_07_PAS_Open_CheckList[[#This Row],[Required?]]="No", "Shade", IF(TBL_REF_07_PAS_Open_CheckList[[#This Row],[Enclosed?]]&lt;&gt;"", "Done", "Add")))</f>
        <v>Shade</v>
      </c>
      <c r="F74" s="295" t="s">
        <v>1432</v>
      </c>
      <c r="G74" s="295" t="s">
        <v>847</v>
      </c>
      <c r="H74" s="295" t="s">
        <v>862</v>
      </c>
    </row>
    <row r="75" spans="1:8" hidden="1">
      <c r="A75" s="286" t="s">
        <v>849</v>
      </c>
      <c r="B75" s="35" t="s">
        <v>1434</v>
      </c>
      <c r="C75" s="34"/>
      <c r="D75" s="294" t="str">
        <f t="array" ref="D75">IF(INDEX(TBL_Q_05_PAS_C4_B[Yes or No?], MATCH(1, (TBL_REF_07_PAS_Open_CheckList[[#This Row],[Index_Ref]]=TBL_Q_05_PAS_C4_B[Index_Ref])*(TBL_REF_07_PAS_Open_CheckList[[#This Row],[Ref]]=TBL_Q_05_PAS_C4_B[Ref]),0))="Yes", "Yes", "No")</f>
        <v>No</v>
      </c>
      <c r="E75" s="295" t="str">
        <f>IF(TBL_REF_07_PAS_Open_CheckList[[#This Row],[Required?]]="N/A", "", IF(TBL_REF_07_PAS_Open_CheckList[[#This Row],[Required?]]="No", "Shade", IF(TBL_REF_07_PAS_Open_CheckList[[#This Row],[Enclosed?]]&lt;&gt;"", "Done", "Add")))</f>
        <v>Shade</v>
      </c>
      <c r="F75" s="295" t="s">
        <v>1432</v>
      </c>
      <c r="G75" s="295" t="s">
        <v>849</v>
      </c>
      <c r="H75" s="295" t="s">
        <v>863</v>
      </c>
    </row>
    <row r="76" spans="1:8" hidden="1">
      <c r="A76" s="286" t="s">
        <v>858</v>
      </c>
      <c r="B76" s="35" t="s">
        <v>1435</v>
      </c>
      <c r="C76" s="34"/>
      <c r="D76" s="294" t="str">
        <f t="array" ref="D76">IF(INDEX(TBL_Q_05_PAS_C4_B[Yes or No?], MATCH(1, (TBL_REF_07_PAS_Open_CheckList[[#This Row],[Index_Ref]]=TBL_Q_05_PAS_C4_B[Index_Ref])*(TBL_REF_07_PAS_Open_CheckList[[#This Row],[Ref]]=TBL_Q_05_PAS_C4_B[Ref]),0))="Yes", "Yes", "No")</f>
        <v>No</v>
      </c>
      <c r="E76" s="295" t="str">
        <f>IF(TBL_REF_07_PAS_Open_CheckList[[#This Row],[Required?]]="N/A", "", IF(TBL_REF_07_PAS_Open_CheckList[[#This Row],[Required?]]="No", "Shade", IF(TBL_REF_07_PAS_Open_CheckList[[#This Row],[Enclosed?]]&lt;&gt;"", "Done", "Add")))</f>
        <v>Shade</v>
      </c>
      <c r="F76" s="295" t="s">
        <v>1432</v>
      </c>
      <c r="G76" s="295" t="s">
        <v>858</v>
      </c>
      <c r="H76" s="295" t="s">
        <v>864</v>
      </c>
    </row>
    <row r="77" spans="1:8" hidden="1">
      <c r="A77" s="286" t="s">
        <v>865</v>
      </c>
      <c r="B77" s="35" t="s">
        <v>1436</v>
      </c>
      <c r="C77" s="34"/>
      <c r="D77" s="294" t="str">
        <f t="array" ref="D77">IF(INDEX(TBL_Q_05_PAS_C4_B[Yes or No?], MATCH(1, (TBL_REF_07_PAS_Open_CheckList[[#This Row],[Index_Ref]]=TBL_Q_05_PAS_C4_B[Index_Ref])*(TBL_REF_07_PAS_Open_CheckList[[#This Row],[Ref]]=TBL_Q_05_PAS_C4_B[Ref]),0))="Yes", "Yes", "No")</f>
        <v>No</v>
      </c>
      <c r="E77" s="295" t="str">
        <f>IF(TBL_REF_07_PAS_Open_CheckList[[#This Row],[Required?]]="N/A", "", IF(TBL_REF_07_PAS_Open_CheckList[[#This Row],[Required?]]="No", "Shade", IF(TBL_REF_07_PAS_Open_CheckList[[#This Row],[Enclosed?]]&lt;&gt;"", "Done", "Add")))</f>
        <v>Shade</v>
      </c>
      <c r="F77" s="295" t="s">
        <v>1432</v>
      </c>
      <c r="G77" s="295" t="s">
        <v>865</v>
      </c>
      <c r="H77" s="295" t="s">
        <v>866</v>
      </c>
    </row>
    <row r="78" spans="1:8" hidden="1">
      <c r="A78" s="286" t="s">
        <v>899</v>
      </c>
      <c r="B78" s="35" t="s">
        <v>1437</v>
      </c>
      <c r="C78" s="34"/>
      <c r="D78" s="294" t="str">
        <f t="array" ref="D78">IF(INDEX(TBL_Q_05_PAS_C4_B[Yes or No?], MATCH(1, (TBL_REF_07_PAS_Open_CheckList[[#This Row],[Index_Ref]]=TBL_Q_05_PAS_C4_B[Index_Ref])*(TBL_REF_07_PAS_Open_CheckList[[#This Row],[Ref]]=TBL_Q_05_PAS_C4_B[Ref]),0))="Yes", "Yes", "No")</f>
        <v>No</v>
      </c>
      <c r="E78" s="295" t="str">
        <f>IF(TBL_REF_07_PAS_Open_CheckList[[#This Row],[Required?]]="N/A", "", IF(TBL_REF_07_PAS_Open_CheckList[[#This Row],[Required?]]="No", "Shade", IF(TBL_REF_07_PAS_Open_CheckList[[#This Row],[Enclosed?]]&lt;&gt;"", "Done", "Add")))</f>
        <v>Shade</v>
      </c>
      <c r="F78" s="295" t="s">
        <v>1432</v>
      </c>
      <c r="G78" s="295" t="s">
        <v>899</v>
      </c>
      <c r="H78" s="295" t="s">
        <v>867</v>
      </c>
    </row>
    <row r="79" spans="1:8" hidden="1">
      <c r="A79" s="286" t="s">
        <v>900</v>
      </c>
      <c r="B79" s="35" t="s">
        <v>1442</v>
      </c>
      <c r="C79" s="34"/>
      <c r="D79" s="294" t="str">
        <f t="array" ref="D79">IF(INDEX(TBL_Q_05_PAS_C4_B[Yes or No?], MATCH(1, (TBL_REF_07_PAS_Open_CheckList[[#This Row],[Index_Ref]]=TBL_Q_05_PAS_C4_B[Index_Ref])*(TBL_REF_07_PAS_Open_CheckList[[#This Row],[Ref]]=TBL_Q_05_PAS_C4_B[Ref]),0))="Yes", "Yes", "No")</f>
        <v>No</v>
      </c>
      <c r="E79" s="295" t="str">
        <f>IF(TBL_REF_07_PAS_Open_CheckList[[#This Row],[Required?]]="N/A", "", IF(TBL_REF_07_PAS_Open_CheckList[[#This Row],[Required?]]="No", "Shade", IF(TBL_REF_07_PAS_Open_CheckList[[#This Row],[Enclosed?]]&lt;&gt;"", "Done", "Add")))</f>
        <v>Shade</v>
      </c>
      <c r="F79" s="295" t="s">
        <v>1432</v>
      </c>
      <c r="G79" s="295" t="s">
        <v>900</v>
      </c>
      <c r="H79" s="295" t="s">
        <v>868</v>
      </c>
    </row>
    <row r="80" spans="1:8" hidden="1">
      <c r="A80" s="286" t="s">
        <v>901</v>
      </c>
      <c r="B80" s="35" t="s">
        <v>1438</v>
      </c>
      <c r="C80" s="34"/>
      <c r="D80" s="294" t="str">
        <f t="array" ref="D80">IF(INDEX(TBL_Q_05_PAS_C4_B[Yes or No?], MATCH(1, (TBL_REF_07_PAS_Open_CheckList[[#This Row],[Index_Ref]]=TBL_Q_05_PAS_C4_B[Index_Ref])*(TBL_REF_07_PAS_Open_CheckList[[#This Row],[Ref]]=TBL_Q_05_PAS_C4_B[Ref]),0))="Yes", "Yes", "No")</f>
        <v>No</v>
      </c>
      <c r="E80" s="295" t="str">
        <f>IF(TBL_REF_07_PAS_Open_CheckList[[#This Row],[Required?]]="N/A", "", IF(TBL_REF_07_PAS_Open_CheckList[[#This Row],[Required?]]="No", "Shade", IF(TBL_REF_07_PAS_Open_CheckList[[#This Row],[Enclosed?]]&lt;&gt;"", "Done", "Add")))</f>
        <v>Shade</v>
      </c>
      <c r="F80" s="295" t="s">
        <v>1432</v>
      </c>
      <c r="G80" s="295" t="s">
        <v>901</v>
      </c>
      <c r="H80" s="295" t="s">
        <v>869</v>
      </c>
    </row>
    <row r="81" spans="1:8" hidden="1">
      <c r="A81" s="286" t="s">
        <v>902</v>
      </c>
      <c r="B81" s="35" t="s">
        <v>1439</v>
      </c>
      <c r="C81" s="34"/>
      <c r="D81" s="294" t="str">
        <f t="array" ref="D81">IF(INDEX(TBL_Q_05_PAS_C4_B[Yes or No?], MATCH(1, (TBL_REF_07_PAS_Open_CheckList[[#This Row],[Index_Ref]]=TBL_Q_05_PAS_C4_B[Index_Ref])*(TBL_REF_07_PAS_Open_CheckList[[#This Row],[Ref]]=TBL_Q_05_PAS_C4_B[Ref]),0))="Yes", "Yes", "No")</f>
        <v>No</v>
      </c>
      <c r="E81" s="295" t="str">
        <f>IF(TBL_REF_07_PAS_Open_CheckList[[#This Row],[Required?]]="N/A", "", IF(TBL_REF_07_PAS_Open_CheckList[[#This Row],[Required?]]="No", "Shade", IF(TBL_REF_07_PAS_Open_CheckList[[#This Row],[Enclosed?]]&lt;&gt;"", "Done", "Add")))</f>
        <v>Shade</v>
      </c>
      <c r="F81" s="295" t="s">
        <v>1432</v>
      </c>
      <c r="G81" s="295" t="s">
        <v>902</v>
      </c>
      <c r="H81" s="295" t="s">
        <v>870</v>
      </c>
    </row>
    <row r="82" spans="1:8" hidden="1">
      <c r="A82" s="286" t="s">
        <v>903</v>
      </c>
      <c r="B82" s="35" t="s">
        <v>1440</v>
      </c>
      <c r="C82" s="34"/>
      <c r="D82" s="294" t="str">
        <f t="array" ref="D82">IF(INDEX(TBL_Q_05_PAS_C4_B[Yes or No?], MATCH(1, (TBL_REF_07_PAS_Open_CheckList[[#This Row],[Index_Ref]]=TBL_Q_05_PAS_C4_B[Index_Ref])*(TBL_REF_07_PAS_Open_CheckList[[#This Row],[Ref]]=TBL_Q_05_PAS_C4_B[Ref]),0))="Yes", "Yes", "No")</f>
        <v>No</v>
      </c>
      <c r="E82" s="295" t="str">
        <f>IF(TBL_REF_07_PAS_Open_CheckList[[#This Row],[Required?]]="N/A", "", IF(TBL_REF_07_PAS_Open_CheckList[[#This Row],[Required?]]="No", "Shade", IF(TBL_REF_07_PAS_Open_CheckList[[#This Row],[Enclosed?]]&lt;&gt;"", "Done", "Add")))</f>
        <v>Shade</v>
      </c>
      <c r="F82" s="295" t="s">
        <v>1432</v>
      </c>
      <c r="G82" s="295" t="s">
        <v>903</v>
      </c>
      <c r="H82" s="295" t="s">
        <v>871</v>
      </c>
    </row>
    <row r="83" spans="1:8" hidden="1">
      <c r="A83" s="286" t="s">
        <v>904</v>
      </c>
      <c r="B83" s="35" t="s">
        <v>1443</v>
      </c>
      <c r="C83" s="34"/>
      <c r="D83" s="294" t="str">
        <f t="array" ref="D83">IF(INDEX(TBL_Q_05_PAS_C4_B[Yes or No?], MATCH(1, (TBL_REF_07_PAS_Open_CheckList[[#This Row],[Index_Ref]]=TBL_Q_05_PAS_C4_B[Index_Ref])*(TBL_REF_07_PAS_Open_CheckList[[#This Row],[Ref]]=TBL_Q_05_PAS_C4_B[Ref]),0))="Yes", "Yes", "No")</f>
        <v>No</v>
      </c>
      <c r="E83" s="295" t="str">
        <f>IF(TBL_REF_07_PAS_Open_CheckList[[#This Row],[Required?]]="N/A", "", IF(TBL_REF_07_PAS_Open_CheckList[[#This Row],[Required?]]="No", "Shade", IF(TBL_REF_07_PAS_Open_CheckList[[#This Row],[Enclosed?]]&lt;&gt;"", "Done", "Add")))</f>
        <v>Shade</v>
      </c>
      <c r="F83" s="295" t="s">
        <v>1432</v>
      </c>
      <c r="G83" s="295" t="s">
        <v>904</v>
      </c>
      <c r="H83" s="295" t="s">
        <v>872</v>
      </c>
    </row>
    <row r="84" spans="1:8" hidden="1">
      <c r="A84" s="286" t="s">
        <v>906</v>
      </c>
      <c r="B84" s="35" t="s">
        <v>1445</v>
      </c>
      <c r="C84" s="34"/>
      <c r="D84" s="294" t="str">
        <f t="array" ref="D84">IF(INDEX(TBL_Q_05_PAS_C4_D[Yes or No?], MATCH(1, (TBL_REF_07_PAS_Open_CheckList[[#This Row],[Index_Ref]]=TBL_Q_05_PAS_C4_D[Index_Ref])*(TBL_REF_07_PAS_Open_CheckList[[#This Row],[Ref]]=TBL_Q_05_PAS_C4_D[Ref]),0))="Yes", "Yes", "No")</f>
        <v>No</v>
      </c>
      <c r="E84" s="295" t="str">
        <f>IF(TBL_REF_07_PAS_Open_CheckList[[#This Row],[Required?]]="N/A", "", IF(TBL_REF_07_PAS_Open_CheckList[[#This Row],[Required?]]="No", "Shade", IF(TBL_REF_07_PAS_Open_CheckList[[#This Row],[Enclosed?]]&lt;&gt;"", "Done", "Add")))</f>
        <v>Shade</v>
      </c>
      <c r="F84" s="295" t="s">
        <v>1444</v>
      </c>
      <c r="G84" s="295" t="s">
        <v>906</v>
      </c>
      <c r="H84" s="295" t="s">
        <v>877</v>
      </c>
    </row>
    <row r="85" spans="1:8" hidden="1">
      <c r="A85" s="286" t="s">
        <v>907</v>
      </c>
      <c r="B85" s="35" t="s">
        <v>1446</v>
      </c>
      <c r="C85" s="34"/>
      <c r="D85" s="294" t="str">
        <f t="array" ref="D85">IF(INDEX(TBL_Q_05_PAS_C4_D[Yes or No?], MATCH(1, (TBL_REF_07_PAS_Open_CheckList[[#This Row],[Index_Ref]]=TBL_Q_05_PAS_C4_D[Index_Ref])*(TBL_REF_07_PAS_Open_CheckList[[#This Row],[Ref]]=TBL_Q_05_PAS_C4_D[Ref]),0))="Yes", "Yes", "No")</f>
        <v>No</v>
      </c>
      <c r="E85" s="295" t="str">
        <f>IF(TBL_REF_07_PAS_Open_CheckList[[#This Row],[Required?]]="N/A", "", IF(TBL_REF_07_PAS_Open_CheckList[[#This Row],[Required?]]="No", "Shade", IF(TBL_REF_07_PAS_Open_CheckList[[#This Row],[Enclosed?]]&lt;&gt;"", "Done", "Add")))</f>
        <v>Shade</v>
      </c>
      <c r="F85" s="295" t="s">
        <v>1444</v>
      </c>
      <c r="G85" s="295" t="s">
        <v>907</v>
      </c>
      <c r="H85" s="295" t="s">
        <v>878</v>
      </c>
    </row>
    <row r="86" spans="1:8" hidden="1">
      <c r="A86" s="286" t="s">
        <v>908</v>
      </c>
      <c r="B86" s="35" t="s">
        <v>1447</v>
      </c>
      <c r="C86" s="34"/>
      <c r="D86" s="294" t="str">
        <f t="array" ref="D86">IF(INDEX(TBL_Q_05_PAS_C4_D[Yes or No?], MATCH(1, (TBL_REF_07_PAS_Open_CheckList[[#This Row],[Index_Ref]]=TBL_Q_05_PAS_C4_D[Index_Ref])*(TBL_REF_07_PAS_Open_CheckList[[#This Row],[Ref]]=TBL_Q_05_PAS_C4_D[Ref]),0))="Yes", "Yes", "No")</f>
        <v>No</v>
      </c>
      <c r="E86" s="295" t="str">
        <f>IF(TBL_REF_07_PAS_Open_CheckList[[#This Row],[Required?]]="N/A", "", IF(TBL_REF_07_PAS_Open_CheckList[[#This Row],[Required?]]="No", "Shade", IF(TBL_REF_07_PAS_Open_CheckList[[#This Row],[Enclosed?]]&lt;&gt;"", "Done", "Add")))</f>
        <v>Shade</v>
      </c>
      <c r="F86" s="295" t="s">
        <v>1444</v>
      </c>
      <c r="G86" s="295" t="s">
        <v>908</v>
      </c>
      <c r="H86" s="295" t="s">
        <v>879</v>
      </c>
    </row>
    <row r="87" spans="1:8" hidden="1">
      <c r="A87" s="286" t="s">
        <v>909</v>
      </c>
      <c r="B87" s="35" t="s">
        <v>1448</v>
      </c>
      <c r="C87" s="34"/>
      <c r="D87" s="294" t="str">
        <f t="array" ref="D87">IF(INDEX(TBL_Q_05_PAS_C4_D[Yes or No?], MATCH(1, (TBL_REF_07_PAS_Open_CheckList[[#This Row],[Index_Ref]]=TBL_Q_05_PAS_C4_D[Index_Ref])*(TBL_REF_07_PAS_Open_CheckList[[#This Row],[Ref]]=TBL_Q_05_PAS_C4_D[Ref]),0))="Yes", "Yes", "No")</f>
        <v>No</v>
      </c>
      <c r="E87" s="295" t="str">
        <f>IF(TBL_REF_07_PAS_Open_CheckList[[#This Row],[Required?]]="N/A", "", IF(TBL_REF_07_PAS_Open_CheckList[[#This Row],[Required?]]="No", "Shade", IF(TBL_REF_07_PAS_Open_CheckList[[#This Row],[Enclosed?]]&lt;&gt;"", "Done", "Add")))</f>
        <v>Shade</v>
      </c>
      <c r="F87" s="295" t="s">
        <v>1444</v>
      </c>
      <c r="G87" s="295" t="s">
        <v>909</v>
      </c>
      <c r="H87" s="295" t="s">
        <v>880</v>
      </c>
    </row>
    <row r="88" spans="1:8" hidden="1">
      <c r="A88" s="286" t="s">
        <v>954</v>
      </c>
      <c r="B88" s="35" t="s">
        <v>1452</v>
      </c>
      <c r="C88" s="34"/>
      <c r="D88" s="294" t="str">
        <f t="array" ref="D88">IF(INDEX(TBL_Q_05_PAS_C4_D[Yes or No?], MATCH(1, (TBL_REF_07_PAS_Open_CheckList[[#This Row],[Index_Ref]]=TBL_Q_05_PAS_C4_D[Index_Ref])*(TBL_REF_07_PAS_Open_CheckList[[#This Row],[Ref]]=TBL_Q_05_PAS_C4_D[Ref]),0))="Yes", "Yes", "No")</f>
        <v>No</v>
      </c>
      <c r="E88" s="295" t="str">
        <f>IF(TBL_REF_07_PAS_Open_CheckList[[#This Row],[Required?]]="N/A", "", IF(TBL_REF_07_PAS_Open_CheckList[[#This Row],[Required?]]="No", "Shade", IF(TBL_REF_07_PAS_Open_CheckList[[#This Row],[Enclosed?]]&lt;&gt;"", "Done", "Add")))</f>
        <v>Shade</v>
      </c>
      <c r="F88" s="295" t="s">
        <v>1444</v>
      </c>
      <c r="G88" s="295" t="s">
        <v>954</v>
      </c>
      <c r="H88" s="295" t="s">
        <v>881</v>
      </c>
    </row>
    <row r="89" spans="1:8" hidden="1">
      <c r="A89" s="286" t="s">
        <v>955</v>
      </c>
      <c r="B89" s="35" t="s">
        <v>1449</v>
      </c>
      <c r="C89" s="34"/>
      <c r="D89" s="294" t="str">
        <f t="array" ref="D89">IF(INDEX(TBL_Q_05_PAS_C4_D[Yes or No?], MATCH(1, (TBL_REF_07_PAS_Open_CheckList[[#This Row],[Index_Ref]]=TBL_Q_05_PAS_C4_D[Index_Ref])*(TBL_REF_07_PAS_Open_CheckList[[#This Row],[Ref]]=TBL_Q_05_PAS_C4_D[Ref]),0))="Yes", "Yes", "No")</f>
        <v>No</v>
      </c>
      <c r="E89" s="295" t="str">
        <f>IF(TBL_REF_07_PAS_Open_CheckList[[#This Row],[Required?]]="N/A", "", IF(TBL_REF_07_PAS_Open_CheckList[[#This Row],[Required?]]="No", "Shade", IF(TBL_REF_07_PAS_Open_CheckList[[#This Row],[Enclosed?]]&lt;&gt;"", "Done", "Add")))</f>
        <v>Shade</v>
      </c>
      <c r="F89" s="295" t="s">
        <v>1444</v>
      </c>
      <c r="G89" s="295" t="s">
        <v>955</v>
      </c>
      <c r="H89" s="295" t="s">
        <v>882</v>
      </c>
    </row>
    <row r="90" spans="1:8" hidden="1">
      <c r="A90" s="286" t="s">
        <v>956</v>
      </c>
      <c r="B90" s="35" t="s">
        <v>1450</v>
      </c>
      <c r="C90" s="34"/>
      <c r="D90" s="294" t="str">
        <f t="array" ref="D90">IF(INDEX(TBL_Q_05_PAS_C4_D[Yes or No?], MATCH(1, (TBL_REF_07_PAS_Open_CheckList[[#This Row],[Index_Ref]]=TBL_Q_05_PAS_C4_D[Index_Ref])*(TBL_REF_07_PAS_Open_CheckList[[#This Row],[Ref]]=TBL_Q_05_PAS_C4_D[Ref]),0))="Yes", "Yes", "No")</f>
        <v>No</v>
      </c>
      <c r="E90" s="295" t="str">
        <f>IF(TBL_REF_07_PAS_Open_CheckList[[#This Row],[Required?]]="N/A", "", IF(TBL_REF_07_PAS_Open_CheckList[[#This Row],[Required?]]="No", "Shade", IF(TBL_REF_07_PAS_Open_CheckList[[#This Row],[Enclosed?]]&lt;&gt;"", "Done", "Add")))</f>
        <v>Shade</v>
      </c>
      <c r="F90" s="295" t="s">
        <v>1444</v>
      </c>
      <c r="G90" s="295" t="s">
        <v>956</v>
      </c>
      <c r="H90" s="295" t="s">
        <v>883</v>
      </c>
    </row>
    <row r="91" spans="1:8" hidden="1">
      <c r="A91" s="286" t="s">
        <v>957</v>
      </c>
      <c r="B91" s="35" t="s">
        <v>1451</v>
      </c>
      <c r="C91" s="34"/>
      <c r="D91" s="294" t="str">
        <f t="array" ref="D91">IF(INDEX(TBL_Q_05_PAS_C4_D[Yes or No?], MATCH(1, (TBL_REF_07_PAS_Open_CheckList[[#This Row],[Index_Ref]]=TBL_Q_05_PAS_C4_D[Index_Ref])*(TBL_REF_07_PAS_Open_CheckList[[#This Row],[Ref]]=TBL_Q_05_PAS_C4_D[Ref]),0))="Yes", "Yes", "No")</f>
        <v>No</v>
      </c>
      <c r="E91" s="295" t="str">
        <f>IF(TBL_REF_07_PAS_Open_CheckList[[#This Row],[Required?]]="N/A", "", IF(TBL_REF_07_PAS_Open_CheckList[[#This Row],[Required?]]="No", "Shade", IF(TBL_REF_07_PAS_Open_CheckList[[#This Row],[Enclosed?]]&lt;&gt;"", "Done", "Add")))</f>
        <v>Shade</v>
      </c>
      <c r="F91" s="295" t="s">
        <v>1444</v>
      </c>
      <c r="G91" s="295" t="s">
        <v>957</v>
      </c>
      <c r="H91" s="295" t="s">
        <v>884</v>
      </c>
    </row>
    <row r="92" spans="1:8" hidden="1">
      <c r="A92" s="286" t="s">
        <v>958</v>
      </c>
      <c r="B92" s="35" t="s">
        <v>1453</v>
      </c>
      <c r="C92" s="34"/>
      <c r="D92" s="294" t="str">
        <f t="array" ref="D92">IF(INDEX(TBL_Q_05_PAS_C4_D[Yes or No?], MATCH(1, (TBL_REF_07_PAS_Open_CheckList[[#This Row],[Index_Ref]]=TBL_Q_05_PAS_C4_D[Index_Ref])*(TBL_REF_07_PAS_Open_CheckList[[#This Row],[Ref]]=TBL_Q_05_PAS_C4_D[Ref]),0))="Yes", "Yes", "No")</f>
        <v>No</v>
      </c>
      <c r="E92" s="295" t="str">
        <f>IF(TBL_REF_07_PAS_Open_CheckList[[#This Row],[Required?]]="N/A", "", IF(TBL_REF_07_PAS_Open_CheckList[[#This Row],[Required?]]="No", "Shade", IF(TBL_REF_07_PAS_Open_CheckList[[#This Row],[Enclosed?]]&lt;&gt;"", "Done", "Add")))</f>
        <v>Shade</v>
      </c>
      <c r="F92" s="295" t="s">
        <v>1444</v>
      </c>
      <c r="G92" s="295" t="s">
        <v>958</v>
      </c>
      <c r="H92" s="295" t="s">
        <v>885</v>
      </c>
    </row>
    <row r="93" spans="1:8" hidden="1">
      <c r="A93" s="286" t="s">
        <v>963</v>
      </c>
      <c r="B93" s="35" t="s">
        <v>1454</v>
      </c>
      <c r="C93" s="34"/>
      <c r="D93" s="294" t="str">
        <f t="array" ref="D93">IF(INDEX(TBL_Q_05_PAS_C4_D[Yes or No?], MATCH(1, (TBL_REF_07_PAS_Open_CheckList[[#This Row],[Index_Ref]]=TBL_Q_05_PAS_C4_D[Index_Ref])*(TBL_REF_07_PAS_Open_CheckList[[#This Row],[Ref]]=TBL_Q_05_PAS_C4_D[Ref]),0))="Yes", "Yes", "No")</f>
        <v>No</v>
      </c>
      <c r="E93" s="295" t="str">
        <f>IF(TBL_REF_07_PAS_Open_CheckList[[#This Row],[Required?]]="N/A", "", IF(TBL_REF_07_PAS_Open_CheckList[[#This Row],[Required?]]="No", "Shade", IF(TBL_REF_07_PAS_Open_CheckList[[#This Row],[Enclosed?]]&lt;&gt;"", "Done", "Add")))</f>
        <v>Shade</v>
      </c>
      <c r="F93" s="295" t="s">
        <v>1444</v>
      </c>
      <c r="G93" s="295" t="s">
        <v>963</v>
      </c>
      <c r="H93" s="295" t="s">
        <v>886</v>
      </c>
    </row>
    <row r="94" spans="1:8" hidden="1">
      <c r="A94" s="286" t="s">
        <v>964</v>
      </c>
      <c r="B94" s="35" t="s">
        <v>1455</v>
      </c>
      <c r="C94" s="34"/>
      <c r="D94" s="294" t="str">
        <f t="array" ref="D94">IF(INDEX(TBL_Q_05_PAS_C4_D[Yes or No?], MATCH(1, (TBL_REF_07_PAS_Open_CheckList[[#This Row],[Index_Ref]]=TBL_Q_05_PAS_C4_D[Index_Ref])*(TBL_REF_07_PAS_Open_CheckList[[#This Row],[Ref]]=TBL_Q_05_PAS_C4_D[Ref]),0))="Yes", "Yes", "No")</f>
        <v>No</v>
      </c>
      <c r="E94" s="295" t="str">
        <f>IF(TBL_REF_07_PAS_Open_CheckList[[#This Row],[Required?]]="N/A", "", IF(TBL_REF_07_PAS_Open_CheckList[[#This Row],[Required?]]="No", "Shade", IF(TBL_REF_07_PAS_Open_CheckList[[#This Row],[Enclosed?]]&lt;&gt;"", "Done", "Add")))</f>
        <v>Shade</v>
      </c>
      <c r="F94" s="295" t="s">
        <v>1444</v>
      </c>
      <c r="G94" s="295" t="s">
        <v>964</v>
      </c>
      <c r="H94" s="295" t="s">
        <v>887</v>
      </c>
    </row>
    <row r="95" spans="1:8" hidden="1">
      <c r="A95" s="286" t="s">
        <v>965</v>
      </c>
      <c r="B95" s="35" t="s">
        <v>1456</v>
      </c>
      <c r="C95" s="34"/>
      <c r="D95" s="294" t="str">
        <f t="array" ref="D95">IF(INDEX(TBL_Q_05_PAS_C4_D[Yes or No?], MATCH(1, (TBL_REF_07_PAS_Open_CheckList[[#This Row],[Index_Ref]]=TBL_Q_05_PAS_C4_D[Index_Ref])*(TBL_REF_07_PAS_Open_CheckList[[#This Row],[Ref]]=TBL_Q_05_PAS_C4_D[Ref]),0))="Yes", "Yes", "No")</f>
        <v>No</v>
      </c>
      <c r="E95" s="295" t="str">
        <f>IF(TBL_REF_07_PAS_Open_CheckList[[#This Row],[Required?]]="N/A", "", IF(TBL_REF_07_PAS_Open_CheckList[[#This Row],[Required?]]="No", "Shade", IF(TBL_REF_07_PAS_Open_CheckList[[#This Row],[Enclosed?]]&lt;&gt;"", "Done", "Add")))</f>
        <v>Shade</v>
      </c>
      <c r="F95" s="295" t="s">
        <v>1444</v>
      </c>
      <c r="G95" s="295" t="s">
        <v>965</v>
      </c>
      <c r="H95" s="295" t="s">
        <v>888</v>
      </c>
    </row>
    <row r="96" spans="1:8" hidden="1">
      <c r="A96" s="286" t="s">
        <v>966</v>
      </c>
      <c r="B96" s="35" t="s">
        <v>1457</v>
      </c>
      <c r="C96" s="34"/>
      <c r="D96" s="294" t="str">
        <f t="array" ref="D96">IF(INDEX(TBL_Q_05_PAS_C4_D[Yes or No?], MATCH(1, (TBL_REF_07_PAS_Open_CheckList[[#This Row],[Index_Ref]]=TBL_Q_05_PAS_C4_D[Index_Ref])*(TBL_REF_07_PAS_Open_CheckList[[#This Row],[Ref]]=TBL_Q_05_PAS_C4_D[Ref]),0))="Yes", "Yes", "No")</f>
        <v>No</v>
      </c>
      <c r="E96" s="295" t="str">
        <f>IF(TBL_REF_07_PAS_Open_CheckList[[#This Row],[Required?]]="N/A", "", IF(TBL_REF_07_PAS_Open_CheckList[[#This Row],[Required?]]="No", "Shade", IF(TBL_REF_07_PAS_Open_CheckList[[#This Row],[Enclosed?]]&lt;&gt;"", "Done", "Add")))</f>
        <v>Shade</v>
      </c>
      <c r="F96" s="295" t="s">
        <v>1444</v>
      </c>
      <c r="G96" s="295" t="s">
        <v>966</v>
      </c>
      <c r="H96" s="295" t="s">
        <v>889</v>
      </c>
    </row>
    <row r="97" spans="1:8" hidden="1">
      <c r="A97" s="286" t="s">
        <v>912</v>
      </c>
      <c r="B97" s="35" t="s">
        <v>1458</v>
      </c>
      <c r="C97" s="34"/>
      <c r="D97" s="294" t="str">
        <f t="array" ref="D97">IF(INDEX(TBL_Q_05_PAS_C4_D[Yes or No?], MATCH(1, (TBL_REF_07_PAS_Open_CheckList[[#This Row],[Index_Ref]]=TBL_Q_05_PAS_C4_D[Index_Ref])*(TBL_REF_07_PAS_Open_CheckList[[#This Row],[Ref]]=TBL_Q_05_PAS_C4_D[Ref]),0))="Yes", "Yes", "No")</f>
        <v>No</v>
      </c>
      <c r="E97" s="295" t="str">
        <f>IF(TBL_REF_07_PAS_Open_CheckList[[#This Row],[Required?]]="N/A", "", IF(TBL_REF_07_PAS_Open_CheckList[[#This Row],[Required?]]="No", "Shade", IF(TBL_REF_07_PAS_Open_CheckList[[#This Row],[Enclosed?]]&lt;&gt;"", "Done", "Add")))</f>
        <v>Shade</v>
      </c>
      <c r="F97" s="295" t="s">
        <v>1444</v>
      </c>
      <c r="G97" s="295" t="s">
        <v>912</v>
      </c>
      <c r="H97" s="295" t="s">
        <v>890</v>
      </c>
    </row>
    <row r="98" spans="1:8" hidden="1">
      <c r="A98" s="286" t="s">
        <v>974</v>
      </c>
      <c r="B98" s="35" t="s">
        <v>1459</v>
      </c>
      <c r="C98" s="34"/>
      <c r="D98" s="294" t="str">
        <f t="array" ref="D98">IF(INDEX(TBL_Q_05_PAS_C4_D[Yes or No?], MATCH(1, (TBL_REF_07_PAS_Open_CheckList[[#This Row],[Index_Ref]]=TBL_Q_05_PAS_C4_D[Index_Ref])*(TBL_REF_07_PAS_Open_CheckList[[#This Row],[Ref]]=TBL_Q_05_PAS_C4_D[Ref]),0))="Yes", "Yes", "No")</f>
        <v>No</v>
      </c>
      <c r="E98" s="295" t="str">
        <f>IF(TBL_REF_07_PAS_Open_CheckList[[#This Row],[Required?]]="N/A", "", IF(TBL_REF_07_PAS_Open_CheckList[[#This Row],[Required?]]="No", "Shade", IF(TBL_REF_07_PAS_Open_CheckList[[#This Row],[Enclosed?]]&lt;&gt;"", "Done", "Add")))</f>
        <v>Shade</v>
      </c>
      <c r="F98" s="295" t="s">
        <v>1444</v>
      </c>
      <c r="G98" s="295" t="s">
        <v>974</v>
      </c>
      <c r="H98" s="295" t="s">
        <v>891</v>
      </c>
    </row>
    <row r="99" spans="1:8" hidden="1">
      <c r="A99" s="286" t="s">
        <v>975</v>
      </c>
      <c r="B99" s="35" t="s">
        <v>1460</v>
      </c>
      <c r="C99" s="34"/>
      <c r="D99" s="294" t="str">
        <f t="array" ref="D99">IF(INDEX(TBL_Q_05_PAS_C4_D[Yes or No?], MATCH(1, (TBL_REF_07_PAS_Open_CheckList[[#This Row],[Index_Ref]]=TBL_Q_05_PAS_C4_D[Index_Ref])*(TBL_REF_07_PAS_Open_CheckList[[#This Row],[Ref]]=TBL_Q_05_PAS_C4_D[Ref]),0))="Yes", "Yes", "No")</f>
        <v>No</v>
      </c>
      <c r="E99" s="295" t="str">
        <f>IF(TBL_REF_07_PAS_Open_CheckList[[#This Row],[Required?]]="N/A", "", IF(TBL_REF_07_PAS_Open_CheckList[[#This Row],[Required?]]="No", "Shade", IF(TBL_REF_07_PAS_Open_CheckList[[#This Row],[Enclosed?]]&lt;&gt;"", "Done", "Add")))</f>
        <v>Shade</v>
      </c>
      <c r="F99" s="295" t="s">
        <v>1444</v>
      </c>
      <c r="G99" s="295" t="s">
        <v>975</v>
      </c>
      <c r="H99" s="295" t="s">
        <v>892</v>
      </c>
    </row>
    <row r="100" spans="1:8" hidden="1">
      <c r="A100" s="286" t="s">
        <v>976</v>
      </c>
      <c r="B100" s="35" t="s">
        <v>1461</v>
      </c>
      <c r="C100" s="34"/>
      <c r="D100" s="294" t="str">
        <f t="array" ref="D100">IF(INDEX(TBL_Q_05_PAS_C4_D[Yes or No?], MATCH(1, (TBL_REF_07_PAS_Open_CheckList[[#This Row],[Index_Ref]]=TBL_Q_05_PAS_C4_D[Index_Ref])*(TBL_REF_07_PAS_Open_CheckList[[#This Row],[Ref]]=TBL_Q_05_PAS_C4_D[Ref]),0))="Yes", "Yes", "No")</f>
        <v>No</v>
      </c>
      <c r="E100" s="295" t="str">
        <f>IF(TBL_REF_07_PAS_Open_CheckList[[#This Row],[Required?]]="N/A", "", IF(TBL_REF_07_PAS_Open_CheckList[[#This Row],[Required?]]="No", "Shade", IF(TBL_REF_07_PAS_Open_CheckList[[#This Row],[Enclosed?]]&lt;&gt;"", "Done", "Add")))</f>
        <v>Shade</v>
      </c>
      <c r="F100" s="295" t="s">
        <v>1444</v>
      </c>
      <c r="G100" s="295" t="s">
        <v>976</v>
      </c>
      <c r="H100" s="295" t="s">
        <v>893</v>
      </c>
    </row>
    <row r="101" spans="1:8" hidden="1">
      <c r="A101" s="286" t="s">
        <v>977</v>
      </c>
      <c r="B101" s="35" t="s">
        <v>1462</v>
      </c>
      <c r="C101" s="34"/>
      <c r="D101" s="294" t="str">
        <f t="array" ref="D101">IF(INDEX(TBL_Q_05_PAS_C4_D[Yes or No?], MATCH(1, (TBL_REF_07_PAS_Open_CheckList[[#This Row],[Index_Ref]]=TBL_Q_05_PAS_C4_D[Index_Ref])*(TBL_REF_07_PAS_Open_CheckList[[#This Row],[Ref]]=TBL_Q_05_PAS_C4_D[Ref]),0))="Yes", "Yes", "No")</f>
        <v>No</v>
      </c>
      <c r="E101" s="295" t="str">
        <f>IF(TBL_REF_07_PAS_Open_CheckList[[#This Row],[Required?]]="N/A", "", IF(TBL_REF_07_PAS_Open_CheckList[[#This Row],[Required?]]="No", "Shade", IF(TBL_REF_07_PAS_Open_CheckList[[#This Row],[Enclosed?]]&lt;&gt;"", "Done", "Add")))</f>
        <v>Shade</v>
      </c>
      <c r="F101" s="295" t="s">
        <v>1444</v>
      </c>
      <c r="G101" s="295" t="s">
        <v>977</v>
      </c>
      <c r="H101" s="295" t="s">
        <v>894</v>
      </c>
    </row>
    <row r="102" spans="1:8" hidden="1">
      <c r="A102" s="286" t="s">
        <v>978</v>
      </c>
      <c r="B102" s="35" t="s">
        <v>1463</v>
      </c>
      <c r="C102" s="34"/>
      <c r="D102" s="294" t="str">
        <f t="array" ref="D102">IF(INDEX(TBL_Q_05_PAS_C4_D[Yes or No?], MATCH(1, (TBL_REF_07_PAS_Open_CheckList[[#This Row],[Index_Ref]]=TBL_Q_05_PAS_C4_D[Index_Ref])*(TBL_REF_07_PAS_Open_CheckList[[#This Row],[Ref]]=TBL_Q_05_PAS_C4_D[Ref]),0))="Yes", "Yes", "No")</f>
        <v>No</v>
      </c>
      <c r="E102" s="295" t="str">
        <f>IF(TBL_REF_07_PAS_Open_CheckList[[#This Row],[Required?]]="N/A", "", IF(TBL_REF_07_PAS_Open_CheckList[[#This Row],[Required?]]="No", "Shade", IF(TBL_REF_07_PAS_Open_CheckList[[#This Row],[Enclosed?]]&lt;&gt;"", "Done", "Add")))</f>
        <v>Shade</v>
      </c>
      <c r="F102" s="295" t="s">
        <v>1444</v>
      </c>
      <c r="G102" s="295" t="s">
        <v>978</v>
      </c>
      <c r="H102" s="295" t="s">
        <v>895</v>
      </c>
    </row>
    <row r="103" spans="1:8" hidden="1">
      <c r="A103" s="286" t="s">
        <v>979</v>
      </c>
      <c r="B103" s="35" t="s">
        <v>1464</v>
      </c>
      <c r="C103" s="34"/>
      <c r="D103" s="294" t="str">
        <f t="array" ref="D103">IF(INDEX(TBL_Q_05_PAS_C4_D[Yes or No?], MATCH(1, (TBL_REF_07_PAS_Open_CheckList[[#This Row],[Index_Ref]]=TBL_Q_05_PAS_C4_D[Index_Ref])*(TBL_REF_07_PAS_Open_CheckList[[#This Row],[Ref]]=TBL_Q_05_PAS_C4_D[Ref]),0))="Yes", "Yes", "No")</f>
        <v>No</v>
      </c>
      <c r="E103" s="295" t="str">
        <f>IF(TBL_REF_07_PAS_Open_CheckList[[#This Row],[Required?]]="N/A", "", IF(TBL_REF_07_PAS_Open_CheckList[[#This Row],[Required?]]="No", "Shade", IF(TBL_REF_07_PAS_Open_CheckList[[#This Row],[Enclosed?]]&lt;&gt;"", "Done", "Add")))</f>
        <v>Shade</v>
      </c>
      <c r="F103" s="295" t="s">
        <v>1444</v>
      </c>
      <c r="G103" s="295" t="s">
        <v>979</v>
      </c>
      <c r="H103" s="295" t="s">
        <v>896</v>
      </c>
    </row>
    <row r="104" spans="1:8" hidden="1">
      <c r="A104" s="286" t="s">
        <v>914</v>
      </c>
      <c r="B104" s="35" t="s">
        <v>1447</v>
      </c>
      <c r="C104" s="34"/>
      <c r="D104" s="294" t="str">
        <f t="array" ref="D104">IF(INDEX(TBL_Q_05_PAS_C4_D[Yes or No?], MATCH(1, (TBL_REF_07_PAS_Open_CheckList[[#This Row],[Index_Ref]]=TBL_Q_05_PAS_C4_D[Index_Ref])*(TBL_REF_07_PAS_Open_CheckList[[#This Row],[Ref]]=TBL_Q_05_PAS_C4_D[Ref]),0))="Yes", "Yes", "No")</f>
        <v>No</v>
      </c>
      <c r="E104" s="295" t="str">
        <f>IF(TBL_REF_07_PAS_Open_CheckList[[#This Row],[Required?]]="N/A", "", IF(TBL_REF_07_PAS_Open_CheckList[[#This Row],[Required?]]="No", "Shade", IF(TBL_REF_07_PAS_Open_CheckList[[#This Row],[Enclosed?]]&lt;&gt;"", "Done", "Add")))</f>
        <v>Shade</v>
      </c>
      <c r="F104" s="295" t="s">
        <v>1444</v>
      </c>
      <c r="G104" s="295" t="s">
        <v>914</v>
      </c>
      <c r="H104" s="295" t="s">
        <v>897</v>
      </c>
    </row>
    <row r="105" spans="1:8" hidden="1">
      <c r="A105" s="286" t="s">
        <v>915</v>
      </c>
      <c r="B105" s="35" t="s">
        <v>1465</v>
      </c>
      <c r="C105" s="34"/>
      <c r="D105" s="294" t="str">
        <f t="array" ref="D105">IF(INDEX(TBL_Q_05_PAS_C4_D[Yes or No?], MATCH(1, (TBL_REF_07_PAS_Open_CheckList[[#This Row],[Index_Ref]]=TBL_Q_05_PAS_C4_D[Index_Ref])*(TBL_REF_07_PAS_Open_CheckList[[#This Row],[Ref]]=TBL_Q_05_PAS_C4_D[Ref]),0))="Yes", "Yes", "No")</f>
        <v>No</v>
      </c>
      <c r="E105" s="295" t="str">
        <f>IF(TBL_REF_07_PAS_Open_CheckList[[#This Row],[Required?]]="N/A", "", IF(TBL_REF_07_PAS_Open_CheckList[[#This Row],[Required?]]="No", "Shade", IF(TBL_REF_07_PAS_Open_CheckList[[#This Row],[Enclosed?]]&lt;&gt;"", "Done", "Add")))</f>
        <v>Shade</v>
      </c>
      <c r="F105" s="295" t="s">
        <v>1444</v>
      </c>
      <c r="G105" s="295" t="s">
        <v>915</v>
      </c>
      <c r="H105" s="295" t="s">
        <v>898</v>
      </c>
    </row>
    <row r="106" spans="1:8" ht="15.5" hidden="1">
      <c r="A106" s="288" t="s">
        <v>144</v>
      </c>
      <c r="B106" s="289" t="str">
        <f>IF('Project Info'!$K$77="No", "Delete this section", "Optional 1:  Equal opportunity and diversity policy and capability")</f>
        <v>Optional 1:  Equal opportunity and diversity policy and capability</v>
      </c>
      <c r="C106" s="290"/>
      <c r="D106" s="294" t="str">
        <f>IF('Project Info'!$K$77="No", "No", "N/A")</f>
        <v>N/A</v>
      </c>
      <c r="E106" s="295" t="str">
        <f>IF(TBL_REF_07_PAS_Open_CheckList[[#This Row],[Required?]]="N/A", "", IF(TBL_REF_07_PAS_Open_CheckList[[#This Row],[Required?]]="No", "Shade", IF(TBL_REF_07_PAS_Open_CheckList[[#This Row],[Enclosed?]]&lt;&gt;"", "Done", "Add")))</f>
        <v/>
      </c>
      <c r="F106" s="295"/>
      <c r="G106" s="295"/>
      <c r="H106" s="295"/>
    </row>
    <row r="107" spans="1:8" hidden="1">
      <c r="A107" s="286" t="s">
        <v>1019</v>
      </c>
      <c r="B107" s="287" t="str">
        <f>IF('Project Info'!$K$77="No","[Delete this row]","Relevant instructions")</f>
        <v>Relevant instructions</v>
      </c>
      <c r="C107" s="34"/>
      <c r="D107" s="294" t="str">
        <f t="array" ref="D107">IF('Project Info'!$K$77="No", "No", IF(INDEX(TBL_Q_05_PAS_O1[Yes or No?], MATCH(1, (TBL_REF_07_PAS_Open_CheckList[[#This Row],[Index_Ref]]=TBL_Q_05_PAS_O1[Index_Ref])*(TBL_REF_07_PAS_Open_CheckList[[#This Row],[Ref]]=TBL_Q_05_PAS_O1[Ref]),0))="Yes", "Yes", "No"))</f>
        <v>No</v>
      </c>
      <c r="E107" s="295" t="str">
        <f>IF(TBL_REF_07_PAS_Open_CheckList[[#This Row],[Required?]]="N/A", "", IF(TBL_REF_07_PAS_Open_CheckList[[#This Row],[Required?]]="No", "Shade", IF(TBL_REF_07_PAS_Open_CheckList[[#This Row],[Enclosed?]]&lt;&gt;"", "Done", "Add")))</f>
        <v>Shade</v>
      </c>
      <c r="F107" s="295" t="s">
        <v>1469</v>
      </c>
      <c r="G107" s="297" t="s">
        <v>1019</v>
      </c>
      <c r="H107" s="297" t="s">
        <v>996</v>
      </c>
    </row>
    <row r="108" spans="1:8" hidden="1">
      <c r="A108" s="286" t="s">
        <v>1020</v>
      </c>
      <c r="B108" s="287" t="str">
        <f>IF('Project Info'!$K$77="No","[Delete this row]","Relevant guidance")</f>
        <v>Relevant guidance</v>
      </c>
      <c r="C108" s="34"/>
      <c r="D108" s="294" t="str">
        <f t="array" ref="D108">IF('Project Info'!$K$77="No", "No", IF(INDEX(TBL_Q_05_PAS_O1[Yes or No?], MATCH(1, (TBL_REF_07_PAS_Open_CheckList[[#This Row],[Index_Ref]]=TBL_Q_05_PAS_O1[Index_Ref])*(TBL_REF_07_PAS_Open_CheckList[[#This Row],[Ref]]=TBL_Q_05_PAS_O1[Ref]),0))="Yes", "Yes", "No"))</f>
        <v>No</v>
      </c>
      <c r="E108" s="295" t="str">
        <f>IF(TBL_REF_07_PAS_Open_CheckList[[#This Row],[Required?]]="N/A", "", IF(TBL_REF_07_PAS_Open_CheckList[[#This Row],[Required?]]="No", "Shade", IF(TBL_REF_07_PAS_Open_CheckList[[#This Row],[Enclosed?]]&lt;&gt;"", "Done", "Add")))</f>
        <v>Shade</v>
      </c>
      <c r="F108" s="295" t="s">
        <v>1469</v>
      </c>
      <c r="G108" s="295" t="s">
        <v>1020</v>
      </c>
      <c r="H108" s="295" t="s">
        <v>998</v>
      </c>
    </row>
    <row r="109" spans="1:8" hidden="1">
      <c r="A109" s="286" t="s">
        <v>1021</v>
      </c>
      <c r="B109" s="287" t="str">
        <f>IF('Project Info'!$K$77="No", "[Delete this row]", "Relevant policies/literature")</f>
        <v>Relevant policies/literature</v>
      </c>
      <c r="C109" s="34"/>
      <c r="D109" s="294" t="str">
        <f t="array" ref="D109">IF('Project Info'!$K$77="No", "No", IF(INDEX(TBL_Q_05_PAS_O1[Yes or No?], MATCH(1, (TBL_REF_07_PAS_Open_CheckList[[#This Row],[Index_Ref]]=TBL_Q_05_PAS_O1[Index_Ref])*(TBL_REF_07_PAS_Open_CheckList[[#This Row],[Ref]]=TBL_Q_05_PAS_O1[Ref]),0))="Yes", "Yes", "No"))</f>
        <v>No</v>
      </c>
      <c r="E109" s="295" t="str">
        <f>IF(TBL_REF_07_PAS_Open_CheckList[[#This Row],[Required?]]="N/A", "", IF(TBL_REF_07_PAS_Open_CheckList[[#This Row],[Required?]]="No", "Shade", IF(TBL_REF_07_PAS_Open_CheckList[[#This Row],[Enclosed?]]&lt;&gt;"", "Done", "Add")))</f>
        <v>Shade</v>
      </c>
      <c r="F109" s="295" t="s">
        <v>1469</v>
      </c>
      <c r="G109" s="295" t="s">
        <v>1021</v>
      </c>
      <c r="H109" s="295" t="s">
        <v>1000</v>
      </c>
    </row>
    <row r="110" spans="1:8" hidden="1">
      <c r="A110" s="286" t="s">
        <v>1022</v>
      </c>
      <c r="B110" s="287" t="str">
        <f>IF('Project Info'!$K$77="No", "[Delete this row]", "Evidence of where these policies have made a difference")</f>
        <v>Evidence of where these policies have made a difference</v>
      </c>
      <c r="C110" s="34"/>
      <c r="D110" s="294" t="str">
        <f t="array" ref="D110">IF('Project Info'!$K$77="No", "No", IF(INDEX(TBL_Q_05_PAS_O1[Yes or No?], MATCH(1, (TBL_REF_07_PAS_Open_CheckList[[#This Row],[Index_Ref]]=TBL_Q_05_PAS_O1[Index_Ref])*(TBL_REF_07_PAS_Open_CheckList[[#This Row],[Ref]]=TBL_Q_05_PAS_O1[Ref]),0))="Yes", "Yes", "No"))</f>
        <v>No</v>
      </c>
      <c r="E110" s="295" t="str">
        <f>IF(TBL_REF_07_PAS_Open_CheckList[[#This Row],[Required?]]="N/A", "", IF(TBL_REF_07_PAS_Open_CheckList[[#This Row],[Required?]]="No", "Shade", IF(TBL_REF_07_PAS_Open_CheckList[[#This Row],[Enclosed?]]&lt;&gt;"", "Done", "Add")))</f>
        <v>Shade</v>
      </c>
      <c r="F110" s="295" t="s">
        <v>1469</v>
      </c>
      <c r="G110" s="295" t="s">
        <v>1022</v>
      </c>
      <c r="H110" s="295" t="s">
        <v>1003</v>
      </c>
    </row>
    <row r="111" spans="1:8" hidden="1">
      <c r="A111" s="286" t="s">
        <v>999</v>
      </c>
      <c r="B111" s="287" t="str">
        <f>IF('Project Info'!$K$77="No", "[Delete this row]", "Details of any findings")</f>
        <v>Details of any findings</v>
      </c>
      <c r="C111" s="34"/>
      <c r="D111" s="294" t="str">
        <f t="array" ref="D111">IF('Project Info'!$K$77="No", "No", IF(INDEX(TBL_Q_05_PAS_O1[Yes or No?], MATCH(1, (TBL_REF_07_PAS_Open_CheckList[[#This Row],[Index_Ref]]=TBL_Q_05_PAS_O1[Index_Ref])*(TBL_REF_07_PAS_Open_CheckList[[#This Row],[Ref]]=TBL_Q_05_PAS_O1[Ref]),0))="Yes", "Yes", "No"))</f>
        <v>No</v>
      </c>
      <c r="E111" s="295" t="str">
        <f>IF(TBL_REF_07_PAS_Open_CheckList[[#This Row],[Required?]]="N/A", "", IF(TBL_REF_07_PAS_Open_CheckList[[#This Row],[Required?]]="No", "Shade", IF(TBL_REF_07_PAS_Open_CheckList[[#This Row],[Enclosed?]]&lt;&gt;"", "Done", "Add")))</f>
        <v>Shade</v>
      </c>
      <c r="F111" s="295" t="s">
        <v>1469</v>
      </c>
      <c r="G111" s="295" t="s">
        <v>999</v>
      </c>
      <c r="H111" s="295" t="s">
        <v>1007</v>
      </c>
    </row>
    <row r="112" spans="1:8" hidden="1">
      <c r="A112" s="286" t="s">
        <v>1002</v>
      </c>
      <c r="B112" s="287" t="str">
        <f>IF('Project Info'!$K$77="No", "[Delete this row]", "Details of any investigations")</f>
        <v>Details of any investigations</v>
      </c>
      <c r="C112" s="34"/>
      <c r="D112" s="294" t="str">
        <f t="array" ref="D112">IF('Project Info'!$K$77="No", "No", IF(INDEX(TBL_Q_05_PAS_O1[Yes or No?], MATCH(1, (TBL_REF_07_PAS_Open_CheckList[[#This Row],[Index_Ref]]=TBL_Q_05_PAS_O1[Index_Ref])*(TBL_REF_07_PAS_Open_CheckList[[#This Row],[Ref]]=TBL_Q_05_PAS_O1[Ref]),0))="Yes", "Yes", "No"))</f>
        <v>No</v>
      </c>
      <c r="E112" s="295" t="str">
        <f>IF(TBL_REF_07_PAS_Open_CheckList[[#This Row],[Required?]]="N/A", "", IF(TBL_REF_07_PAS_Open_CheckList[[#This Row],[Required?]]="No", "Shade", IF(TBL_REF_07_PAS_Open_CheckList[[#This Row],[Enclosed?]]&lt;&gt;"", "Done", "Add")))</f>
        <v>Shade</v>
      </c>
      <c r="F112" s="295" t="s">
        <v>1469</v>
      </c>
      <c r="G112" s="295" t="s">
        <v>1002</v>
      </c>
      <c r="H112" s="295" t="s">
        <v>1009</v>
      </c>
    </row>
    <row r="113" spans="1:8" hidden="1">
      <c r="A113" s="286" t="s">
        <v>1004</v>
      </c>
      <c r="B113" s="287" t="str">
        <f>IF('Project Info'!$K$77="No", "[Delete this row]", "Details of any findings")</f>
        <v>Details of any findings</v>
      </c>
      <c r="C113" s="34"/>
      <c r="D113" s="294" t="str">
        <f t="array" ref="D113">IF('Project Info'!$K$77="No", "No", IF(INDEX(TBL_Q_05_PAS_O1[Yes or No?], MATCH(1, (TBL_REF_07_PAS_Open_CheckList[[#This Row],[Index_Ref]]=TBL_Q_05_PAS_O1[Index_Ref])*(TBL_REF_07_PAS_Open_CheckList[[#This Row],[Ref]]=TBL_Q_05_PAS_O1[Ref]),0))="Yes", "Yes", "No"))</f>
        <v>No</v>
      </c>
      <c r="E113" s="295" t="str">
        <f>IF(TBL_REF_07_PAS_Open_CheckList[[#This Row],[Required?]]="N/A", "", IF(TBL_REF_07_PAS_Open_CheckList[[#This Row],[Required?]]="No", "Shade", IF(TBL_REF_07_PAS_Open_CheckList[[#This Row],[Enclosed?]]&lt;&gt;"", "Done", "Add")))</f>
        <v>Shade</v>
      </c>
      <c r="F113" s="295" t="s">
        <v>1469</v>
      </c>
      <c r="G113" s="295" t="s">
        <v>1004</v>
      </c>
      <c r="H113" s="295" t="s">
        <v>1011</v>
      </c>
    </row>
    <row r="114" spans="1:8" hidden="1">
      <c r="A114" s="286" t="s">
        <v>1006</v>
      </c>
      <c r="B114" s="287" t="str">
        <f>IF('Project Info'!$K$77="No", "[Delete this row]", "Details of any findings")</f>
        <v>Details of any findings</v>
      </c>
      <c r="C114" s="34"/>
      <c r="D114" s="294" t="str">
        <f t="array" ref="D114">IF('Project Info'!$K$77="No", "No", IF(INDEX(TBL_Q_05_PAS_O1[Yes or No?], MATCH(1, (TBL_REF_07_PAS_Open_CheckList[[#This Row],[Index_Ref]]=TBL_Q_05_PAS_O1[Index_Ref])*(TBL_REF_07_PAS_Open_CheckList[[#This Row],[Ref]]=TBL_Q_05_PAS_O1[Ref]),0))="Yes", "Yes", "No"))</f>
        <v>No</v>
      </c>
      <c r="E114" s="295" t="str">
        <f>IF(TBL_REF_07_PAS_Open_CheckList[[#This Row],[Required?]]="N/A", "", IF(TBL_REF_07_PAS_Open_CheckList[[#This Row],[Required?]]="No", "Shade", IF(TBL_REF_07_PAS_Open_CheckList[[#This Row],[Enclosed?]]&lt;&gt;"", "Done", "Add")))</f>
        <v>Shade</v>
      </c>
      <c r="F114" s="295" t="s">
        <v>1469</v>
      </c>
      <c r="G114" s="295" t="s">
        <v>1006</v>
      </c>
      <c r="H114" s="295" t="s">
        <v>1013</v>
      </c>
    </row>
    <row r="115" spans="1:8" hidden="1">
      <c r="A115" s="286" t="s">
        <v>1008</v>
      </c>
      <c r="B115" s="287" t="str">
        <f>IF('Project Info'!$K$77="No", "[Delete this row]", "Details of any findings")</f>
        <v>Details of any findings</v>
      </c>
      <c r="C115" s="34"/>
      <c r="D115" s="294" t="str">
        <f t="array" ref="D115">IF('Project Info'!$K$77="No", "No", IF(INDEX(TBL_Q_05_PAS_O1[Yes or No?], MATCH(1, (TBL_REF_07_PAS_Open_CheckList[[#This Row],[Index_Ref]]=TBL_Q_05_PAS_O1[Index_Ref])*(TBL_REF_07_PAS_Open_CheckList[[#This Row],[Ref]]=TBL_Q_05_PAS_O1[Ref]),0))="Yes", "Yes", "No"))</f>
        <v>No</v>
      </c>
      <c r="E115" s="295" t="str">
        <f>IF(TBL_REF_07_PAS_Open_CheckList[[#This Row],[Required?]]="N/A", "", IF(TBL_REF_07_PAS_Open_CheckList[[#This Row],[Required?]]="No", "Shade", IF(TBL_REF_07_PAS_Open_CheckList[[#This Row],[Enclosed?]]&lt;&gt;"", "Done", "Add")))</f>
        <v>Shade</v>
      </c>
      <c r="F115" s="295" t="s">
        <v>1469</v>
      </c>
      <c r="G115" s="295" t="s">
        <v>1008</v>
      </c>
      <c r="H115" s="295" t="s">
        <v>1015</v>
      </c>
    </row>
    <row r="116" spans="1:8" hidden="1">
      <c r="A116" s="286" t="s">
        <v>1010</v>
      </c>
      <c r="B116" s="287" t="str">
        <f>IF('Project Info'!$K$77="No", "[Delete this row]", "Details/evidence of remedial action")</f>
        <v>Details/evidence of remedial action</v>
      </c>
      <c r="C116" s="34"/>
      <c r="D116" s="294" t="str">
        <f t="array" ref="D116">IF('Project Info'!$K$77="No", "No", IF(INDEX(TBL_Q_05_PAS_O1[Yes or No?], MATCH(1, (TBL_REF_07_PAS_Open_CheckList[[#This Row],[Index_Ref]]=TBL_Q_05_PAS_O1[Index_Ref])*(TBL_REF_07_PAS_Open_CheckList[[#This Row],[Ref]]=TBL_Q_05_PAS_O1[Ref]),0))="Yes", "Yes", "No"))</f>
        <v>No</v>
      </c>
      <c r="E116" s="295" t="str">
        <f>IF(TBL_REF_07_PAS_Open_CheckList[[#This Row],[Required?]]="N/A", "", IF(TBL_REF_07_PAS_Open_CheckList[[#This Row],[Required?]]="No", "Shade", IF(TBL_REF_07_PAS_Open_CheckList[[#This Row],[Enclosed?]]&lt;&gt;"", "Done", "Add")))</f>
        <v>Shade</v>
      </c>
      <c r="F116" s="295" t="s">
        <v>1469</v>
      </c>
      <c r="G116" s="295" t="s">
        <v>1010</v>
      </c>
      <c r="H116" s="295" t="s">
        <v>1016</v>
      </c>
    </row>
    <row r="117" spans="1:8" hidden="1">
      <c r="A117" s="286" t="s">
        <v>1012</v>
      </c>
      <c r="B117" s="287" t="str">
        <f>IF('Project Info'!$K$77="No", "[Delete this row]", "Relevant policies or written statement/evidence of relevant actions")</f>
        <v>Relevant policies or written statement/evidence of relevant actions</v>
      </c>
      <c r="C117" s="34"/>
      <c r="D117" s="294" t="str">
        <f t="array" ref="D117">IF('Project Info'!$K$77="No", "No", IF(INDEX(TBL_Q_05_PAS_O1[Yes or No?], MATCH(1, (TBL_REF_07_PAS_Open_CheckList[[#This Row],[Index_Ref]]=TBL_Q_05_PAS_O1[Index_Ref])*(TBL_REF_07_PAS_Open_CheckList[[#This Row],[Ref]]=TBL_Q_05_PAS_O1[Ref]),0))="Yes", "Yes", "No"))</f>
        <v>No</v>
      </c>
      <c r="E117" s="295" t="str">
        <f>IF(TBL_REF_07_PAS_Open_CheckList[[#This Row],[Required?]]="N/A", "", IF(TBL_REF_07_PAS_Open_CheckList[[#This Row],[Required?]]="No", "Shade", IF(TBL_REF_07_PAS_Open_CheckList[[#This Row],[Enclosed?]]&lt;&gt;"", "Done", "Add")))</f>
        <v>Shade</v>
      </c>
      <c r="F117" s="295" t="s">
        <v>1469</v>
      </c>
      <c r="G117" s="295" t="s">
        <v>1012</v>
      </c>
      <c r="H117" s="295" t="s">
        <v>1017</v>
      </c>
    </row>
    <row r="118" spans="1:8" hidden="1">
      <c r="A118" s="286" t="s">
        <v>1466</v>
      </c>
      <c r="B118" s="287" t="str">
        <f>IF('Project Info'!$K$77="No", "[Delete this row]", "Evidence of guidance to employees/suppliers")</f>
        <v>Evidence of guidance to employees/suppliers</v>
      </c>
      <c r="C118" s="34"/>
      <c r="D118" s="294" t="str">
        <f t="array" ref="D118">IF('Project Info'!$K$77="No", "No", IF(INDEX(TBL_Q_05_PAS_O1[Yes or No?], MATCH(1, (TBL_REF_07_PAS_Open_CheckList[[#This Row],[Index_Ref]]=TBL_Q_05_PAS_O1[Index_Ref])*(TBL_REF_07_PAS_Open_CheckList[[#This Row],[Ref]]=TBL_Q_05_PAS_O1[Ref]),0))="Yes", "Yes", "No"))</f>
        <v>No</v>
      </c>
      <c r="E118" s="295" t="str">
        <f>IF(TBL_REF_07_PAS_Open_CheckList[[#This Row],[Required?]]="N/A", "", IF(TBL_REF_07_PAS_Open_CheckList[[#This Row],[Required?]]="No", "Shade", IF(TBL_REF_07_PAS_Open_CheckList[[#This Row],[Enclosed?]]&lt;&gt;"", "Done", "Add")))</f>
        <v>Shade</v>
      </c>
      <c r="F118" s="295" t="s">
        <v>1469</v>
      </c>
      <c r="G118" s="295" t="s">
        <v>1466</v>
      </c>
      <c r="H118" s="295" t="s">
        <v>1018</v>
      </c>
    </row>
    <row r="119" spans="1:8" hidden="1">
      <c r="A119" s="286" t="s">
        <v>1467</v>
      </c>
      <c r="B119" s="287" t="str">
        <f>IF('Project Info'!$K$77="No", "[Delete this row]", "Evidence of guidance or policy documents")</f>
        <v>Evidence of guidance or policy documents</v>
      </c>
      <c r="C119" s="34"/>
      <c r="D119" s="294" t="str">
        <f t="array" ref="D119">IF('Project Info'!$K$77="No", "No", IF(INDEX(TBL_Q_05_PAS_O1[Yes or No?], MATCH(1, (TBL_REF_07_PAS_Open_CheckList[[#This Row],[Index_Ref]]=TBL_Q_05_PAS_O1[Index_Ref])*(TBL_REF_07_PAS_Open_CheckList[[#This Row],[Ref]]=TBL_Q_05_PAS_O1[Ref]),0))="Yes", "Yes", "No"))</f>
        <v>No</v>
      </c>
      <c r="E119" s="295" t="str">
        <f>IF(TBL_REF_07_PAS_Open_CheckList[[#This Row],[Required?]]="N/A", "", IF(TBL_REF_07_PAS_Open_CheckList[[#This Row],[Required?]]="No", "Shade", IF(TBL_REF_07_PAS_Open_CheckList[[#This Row],[Enclosed?]]&lt;&gt;"", "Done", "Add")))</f>
        <v>Shade</v>
      </c>
      <c r="F119" s="295" t="s">
        <v>1469</v>
      </c>
      <c r="G119" s="295" t="s">
        <v>1467</v>
      </c>
      <c r="H119" s="295" t="s">
        <v>1023</v>
      </c>
    </row>
    <row r="120" spans="1:8" hidden="1">
      <c r="A120" s="286" t="s">
        <v>1468</v>
      </c>
      <c r="B120" s="287" t="str">
        <f>IF('Project Info'!$K$77="No", "[Delete this row]", "Evidence of appropriate recruitment or literature")</f>
        <v>Evidence of appropriate recruitment or literature</v>
      </c>
      <c r="C120" s="34"/>
      <c r="D120" s="294" t="str">
        <f t="array" ref="D120">IF('Project Info'!$K$77="No", "No", IF(INDEX(TBL_Q_05_PAS_O1[Yes or No?], MATCH(1, (TBL_REF_07_PAS_Open_CheckList[[#This Row],[Index_Ref]]=TBL_Q_05_PAS_O1[Index_Ref])*(TBL_REF_07_PAS_Open_CheckList[[#This Row],[Ref]]=TBL_Q_05_PAS_O1[Ref]),0))="Yes", "Yes", "No"))</f>
        <v>No</v>
      </c>
      <c r="E120" s="295" t="str">
        <f>IF(TBL_REF_07_PAS_Open_CheckList[[#This Row],[Required?]]="N/A", "", IF(TBL_REF_07_PAS_Open_CheckList[[#This Row],[Required?]]="No", "Shade", IF(TBL_REF_07_PAS_Open_CheckList[[#This Row],[Enclosed?]]&lt;&gt;"", "Done", "Add")))</f>
        <v>Shade</v>
      </c>
      <c r="F120" s="295" t="s">
        <v>1469</v>
      </c>
      <c r="G120" s="295" t="s">
        <v>1468</v>
      </c>
      <c r="H120" s="295" t="s">
        <v>1024</v>
      </c>
    </row>
    <row r="121" spans="1:8" ht="15.5" hidden="1">
      <c r="A121" s="288" t="s">
        <v>144</v>
      </c>
      <c r="B121" s="289" t="str">
        <f>IF('Project Info'!$K$78="No", "Delete this section", "Optional 2:  Environmental management policy and capability")</f>
        <v>Optional 2:  Environmental management policy and capability</v>
      </c>
      <c r="C121" s="290"/>
      <c r="D121" s="294" t="str">
        <f>IF('Project Info'!$K$78="No", "No", "N/A")</f>
        <v>N/A</v>
      </c>
      <c r="E121" s="295" t="str">
        <f>IF(TBL_REF_07_PAS_Open_CheckList[[#This Row],[Required?]]="N/A", "", IF(TBL_REF_07_PAS_Open_CheckList[[#This Row],[Required?]]="No", "Shade", IF(TBL_REF_07_PAS_Open_CheckList[[#This Row],[Enclosed?]]&lt;&gt;"", "Done", "Add")))</f>
        <v/>
      </c>
      <c r="F121" s="295"/>
      <c r="G121" s="295"/>
      <c r="H121" s="295"/>
    </row>
    <row r="122" spans="1:8" hidden="1">
      <c r="A122" s="286" t="s">
        <v>1046</v>
      </c>
      <c r="B122" s="287" t="str">
        <f>IF('Project Info'!$K$78="No","[Delete this row]","Certificate of compliance with BS EN ISO 14001 (or equivalent)")</f>
        <v>Certificate of compliance with BS EN ISO 14001 (or equivalent)</v>
      </c>
      <c r="C122" s="34"/>
      <c r="D122" s="294" t="str">
        <f>IF('Project Info'!$K$78="No", "No", IF('Part 2_Optional 2'!$D$9="Yes", "Yes", "No"))</f>
        <v>No</v>
      </c>
      <c r="E122" s="295" t="str">
        <f>IF(TBL_REF_07_PAS_Open_CheckList[[#This Row],[Required?]]="N/A", "", IF(TBL_REF_07_PAS_Open_CheckList[[#This Row],[Required?]]="No", "Shade", IF(TBL_REF_07_PAS_Open_CheckList[[#This Row],[Enclosed?]]&lt;&gt;"", "Done", "Add")))</f>
        <v>Shade</v>
      </c>
      <c r="F122" s="295" t="s">
        <v>1470</v>
      </c>
      <c r="G122" s="297" t="s">
        <v>24</v>
      </c>
      <c r="H122" s="297" t="s">
        <v>24</v>
      </c>
    </row>
    <row r="123" spans="1:8" hidden="1">
      <c r="A123" s="286" t="s">
        <v>1051</v>
      </c>
      <c r="B123" s="287" t="str">
        <f>IF('Project Info'!$K$78="No","[Delete this row]","Policy and process for managing environmental issues")</f>
        <v>Policy and process for managing environmental issues</v>
      </c>
      <c r="C123" s="34"/>
      <c r="D123" s="294" t="str">
        <f t="array" ref="D123">IF('Project Info'!$K$78="No", "No", IF(INDEX(TBL_Q_05_PAS_O2_B[Yes or No?], MATCH(1, (TBL_REF_07_PAS_Open_CheckList[[#This Row],[Index_Ref]]=TBL_Q_05_PAS_O2_B[Index_Ref])*(TBL_REF_07_PAS_Open_CheckList[[#This Row],[Ref]]=TBL_Q_05_PAS_O2_B[Ref]),0))="Yes", "Yes", "No"))</f>
        <v>No</v>
      </c>
      <c r="E123" s="295" t="str">
        <f>IF(TBL_REF_07_PAS_Open_CheckList[[#This Row],[Required?]]="N/A", "", IF(TBL_REF_07_PAS_Open_CheckList[[#This Row],[Required?]]="No", "Shade", IF(TBL_REF_07_PAS_Open_CheckList[[#This Row],[Enclosed?]]&lt;&gt;"", "Done", "Add")))</f>
        <v>Shade</v>
      </c>
      <c r="F123" s="295" t="s">
        <v>1471</v>
      </c>
      <c r="G123" s="295" t="s">
        <v>1051</v>
      </c>
      <c r="H123" s="295" t="s">
        <v>1048</v>
      </c>
    </row>
    <row r="124" spans="1:8" hidden="1">
      <c r="A124" s="286" t="s">
        <v>1053</v>
      </c>
      <c r="B124" s="287" t="str">
        <f>IF('Project Info'!$K$78="No","[Delete this row]","Arrangements for ensuring management procedures are effective")</f>
        <v>Arrangements for ensuring management procedures are effective</v>
      </c>
      <c r="C124" s="34"/>
      <c r="D124" s="294" t="str">
        <f t="array" ref="D124">IF('Project Info'!$K$78="No", "No", IF(INDEX(TBL_Q_05_PAS_O2_B[Yes or No?], MATCH(1, (TBL_REF_07_PAS_Open_CheckList[[#This Row],[Index_Ref]]=TBL_Q_05_PAS_O2_B[Index_Ref])*(TBL_REF_07_PAS_Open_CheckList[[#This Row],[Ref]]=TBL_Q_05_PAS_O2_B[Ref]),0))="Yes", "Yes", "No"))</f>
        <v>No</v>
      </c>
      <c r="E124" s="295" t="str">
        <f>IF(TBL_REF_07_PAS_Open_CheckList[[#This Row],[Required?]]="N/A", "", IF(TBL_REF_07_PAS_Open_CheckList[[#This Row],[Required?]]="No", "Shade", IF(TBL_REF_07_PAS_Open_CheckList[[#This Row],[Enclosed?]]&lt;&gt;"", "Done", "Add")))</f>
        <v>Shade</v>
      </c>
      <c r="F124" s="295" t="s">
        <v>1471</v>
      </c>
      <c r="G124" s="295" t="s">
        <v>1053</v>
      </c>
      <c r="H124" s="295" t="s">
        <v>1049</v>
      </c>
    </row>
    <row r="125" spans="1:8" hidden="1">
      <c r="A125" s="286" t="s">
        <v>1055</v>
      </c>
      <c r="B125" s="287" t="str">
        <f>IF('Project Info'!$K$78="No","[Delete this row]","Arrangements for providing training and information")</f>
        <v>Arrangements for providing training and information</v>
      </c>
      <c r="C125" s="34"/>
      <c r="D125" s="294" t="str">
        <f t="array" ref="D125">IF('Project Info'!$K$78="No", "No", IF(INDEX(TBL_Q_05_PAS_O2_B[Yes or No?], MATCH(1, (TBL_REF_07_PAS_Open_CheckList[[#This Row],[Index_Ref]]=TBL_Q_05_PAS_O2_B[Index_Ref])*(TBL_REF_07_PAS_Open_CheckList[[#This Row],[Ref]]=TBL_Q_05_PAS_O2_B[Ref]),0))="Yes", "Yes", "No"))</f>
        <v>No</v>
      </c>
      <c r="E125" s="295" t="str">
        <f>IF(TBL_REF_07_PAS_Open_CheckList[[#This Row],[Required?]]="N/A", "", IF(TBL_REF_07_PAS_Open_CheckList[[#This Row],[Required?]]="No", "Shade", IF(TBL_REF_07_PAS_Open_CheckList[[#This Row],[Enclosed?]]&lt;&gt;"", "Done", "Add")))</f>
        <v>Shade</v>
      </c>
      <c r="F125" s="295" t="s">
        <v>1471</v>
      </c>
      <c r="G125" s="295" t="s">
        <v>1055</v>
      </c>
      <c r="H125" s="295" t="s">
        <v>1050</v>
      </c>
    </row>
    <row r="126" spans="1:8" hidden="1">
      <c r="A126" s="286" t="s">
        <v>1056</v>
      </c>
      <c r="B126" s="287" t="str">
        <f>IF('Project Info'!$K$78="No","[Delete this row]","Check, review and improve environmental management performance")</f>
        <v>Check, review and improve environmental management performance</v>
      </c>
      <c r="C126" s="34"/>
      <c r="D126" s="294" t="str">
        <f t="array" ref="D126">IF('Project Info'!$K$78="No", "No", IF(INDEX(TBL_Q_05_PAS_O2_B[Yes or No?], MATCH(1, (TBL_REF_07_PAS_Open_CheckList[[#This Row],[Index_Ref]]=TBL_Q_05_PAS_O2_B[Index_Ref])*(TBL_REF_07_PAS_Open_CheckList[[#This Row],[Ref]]=TBL_Q_05_PAS_O2_B[Ref]),0))="Yes", "Yes", "No"))</f>
        <v>No</v>
      </c>
      <c r="E126" s="295" t="str">
        <f>IF(TBL_REF_07_PAS_Open_CheckList[[#This Row],[Required?]]="N/A", "", IF(TBL_REF_07_PAS_Open_CheckList[[#This Row],[Required?]]="No", "Shade", IF(TBL_REF_07_PAS_Open_CheckList[[#This Row],[Enclosed?]]&lt;&gt;"", "Done", "Add")))</f>
        <v>Shade</v>
      </c>
      <c r="F126" s="295" t="s">
        <v>1471</v>
      </c>
      <c r="G126" s="295" t="s">
        <v>1056</v>
      </c>
      <c r="H126" s="295" t="s">
        <v>1052</v>
      </c>
    </row>
    <row r="127" spans="1:8" hidden="1">
      <c r="A127" s="292" t="s">
        <v>1057</v>
      </c>
      <c r="B127" s="284" t="str">
        <f>IF('Project Info'!$K$78="No","[Delete this row]","Ensure suppliers apply environmental protection measures")</f>
        <v>Ensure suppliers apply environmental protection measures</v>
      </c>
      <c r="C127" s="293"/>
      <c r="D127" s="294" t="str">
        <f t="array" ref="D127">IF('Project Info'!$K$78="No", "No", IF(INDEX(TBL_Q_05_PAS_O2_B[Yes or No?], MATCH(1, (TBL_REF_07_PAS_Open_CheckList[[#This Row],[Index_Ref]]=TBL_Q_05_PAS_O2_B[Index_Ref])*(TBL_REF_07_PAS_Open_CheckList[[#This Row],[Ref]]=TBL_Q_05_PAS_O2_B[Ref]),0))="Yes", "Yes", "No"))</f>
        <v>No</v>
      </c>
      <c r="E127" s="297" t="str">
        <f>IF(TBL_REF_07_PAS_Open_CheckList[[#This Row],[Required?]]="N/A", "", IF(TBL_REF_07_PAS_Open_CheckList[[#This Row],[Required?]]="No", "Shade", IF(TBL_REF_07_PAS_Open_CheckList[[#This Row],[Enclosed?]]&lt;&gt;"", "Done", "Add")))</f>
        <v>Shade</v>
      </c>
      <c r="F127" s="295" t="s">
        <v>1471</v>
      </c>
      <c r="G127" s="297" t="s">
        <v>1057</v>
      </c>
      <c r="H127" s="297" t="s">
        <v>1054</v>
      </c>
    </row>
    <row r="128" spans="1:8" ht="15.5" hidden="1">
      <c r="A128" s="288" t="s">
        <v>144</v>
      </c>
      <c r="B128" s="289" t="str">
        <f>IF('Project Info'!$K$79="No", "Delete this section", "Optional 3:  Quality management policy and capability")</f>
        <v>Optional 3:  Quality management policy and capability</v>
      </c>
      <c r="C128" s="290"/>
      <c r="D128" s="294" t="str">
        <f>IF('Project Info'!$K$79="No", "No", "N/A")</f>
        <v>N/A</v>
      </c>
      <c r="E128" s="295" t="str">
        <f>IF(TBL_REF_07_PAS_Open_CheckList[[#This Row],[Required?]]="N/A", "", IF(TBL_REF_07_PAS_Open_CheckList[[#This Row],[Required?]]="No", "Shade", IF(TBL_REF_07_PAS_Open_CheckList[[#This Row],[Enclosed?]]&lt;&gt;"", "Done", "Add")))</f>
        <v/>
      </c>
      <c r="F128" s="295"/>
      <c r="G128" s="295"/>
      <c r="H128" s="295"/>
    </row>
    <row r="129" spans="1:10" hidden="1">
      <c r="A129" s="286" t="s">
        <v>1070</v>
      </c>
      <c r="B129" s="287" t="str">
        <f>IF('Project Info'!$K$79="No","[Delete this row]","Certificate of compliance with BS EN ISO 9001 (or equivalent)")</f>
        <v>Certificate of compliance with BS EN ISO 9001 (or equivalent)</v>
      </c>
      <c r="C129" s="34"/>
      <c r="D129" s="294" t="str">
        <f>IF('Project Info'!$K$79="No", "No", IF('Part 2_Optional 3'!$D$9="Yes", "Yes", "No"))</f>
        <v>No</v>
      </c>
      <c r="E129" s="295" t="str">
        <f>IF(TBL_REF_07_PAS_Open_CheckList[[#This Row],[Required?]]="N/A", "", IF(TBL_REF_07_PAS_Open_CheckList[[#This Row],[Required?]]="No", "Shade", IF(TBL_REF_07_PAS_Open_CheckList[[#This Row],[Enclosed?]]&lt;&gt;"", "Done", "Add")))</f>
        <v>Shade</v>
      </c>
      <c r="F129" s="295" t="s">
        <v>1470</v>
      </c>
      <c r="G129" s="297" t="s">
        <v>24</v>
      </c>
      <c r="H129" s="297" t="s">
        <v>24</v>
      </c>
    </row>
    <row r="130" spans="1:10" hidden="1">
      <c r="A130" s="286" t="s">
        <v>1071</v>
      </c>
      <c r="B130" s="287" t="str">
        <f>IF('Project Info'!$K$79="No","[Delete this row]","Policy and process for quality management")</f>
        <v>Policy and process for quality management</v>
      </c>
      <c r="C130" s="34"/>
      <c r="D130" s="294" t="str">
        <f t="array" ref="D130">IF('Project Info'!$K$79="No", "No", IF(INDEX(TBL_Q_05_PAS_O3_B[Yes or No?], MATCH(1, (TBL_REF_07_PAS_Open_CheckList[[#This Row],[Index_Ref]]=TBL_Q_05_PAS_O3_B[Index_Ref])*(TBL_REF_07_PAS_Open_CheckList[[#This Row],[Ref]]=TBL_Q_05_PAS_O3_B[Ref]),0))="Yes", "Yes", "No"))</f>
        <v>No</v>
      </c>
      <c r="E130" s="295" t="str">
        <f>IF(TBL_REF_07_PAS_Open_CheckList[[#This Row],[Required?]]="N/A", "", IF(TBL_REF_07_PAS_Open_CheckList[[#This Row],[Required?]]="No", "Shade", IF(TBL_REF_07_PAS_Open_CheckList[[#This Row],[Enclosed?]]&lt;&gt;"", "Done", "Add")))</f>
        <v>Shade</v>
      </c>
      <c r="F130" s="295" t="s">
        <v>1472</v>
      </c>
      <c r="G130" s="295" t="s">
        <v>1071</v>
      </c>
      <c r="H130" s="295" t="s">
        <v>1074</v>
      </c>
    </row>
    <row r="131" spans="1:10" hidden="1">
      <c r="A131" s="286" t="s">
        <v>1073</v>
      </c>
      <c r="B131" s="287" t="str">
        <f>IF('Project Info'!$K$79="No","[Delete this row]","Arrangements for ensuring management procedures are effective")</f>
        <v>Arrangements for ensuring management procedures are effective</v>
      </c>
      <c r="C131" s="34"/>
      <c r="D131" s="294" t="str">
        <f t="array" ref="D131">IF('Project Info'!$K$79="No", "No", IF(INDEX(TBL_Q_05_PAS_O3_B[Yes or No?], MATCH(1, (TBL_REF_07_PAS_Open_CheckList[[#This Row],[Index_Ref]]=TBL_Q_05_PAS_O3_B[Index_Ref])*(TBL_REF_07_PAS_Open_CheckList[[#This Row],[Ref]]=TBL_Q_05_PAS_O3_B[Ref]),0))="Yes", "Yes", "No"))</f>
        <v>No</v>
      </c>
      <c r="E131" s="295" t="str">
        <f>IF(TBL_REF_07_PAS_Open_CheckList[[#This Row],[Required?]]="N/A", "", IF(TBL_REF_07_PAS_Open_CheckList[[#This Row],[Required?]]="No", "Shade", IF(TBL_REF_07_PAS_Open_CheckList[[#This Row],[Enclosed?]]&lt;&gt;"", "Done", "Add")))</f>
        <v>Shade</v>
      </c>
      <c r="F131" s="295" t="s">
        <v>1472</v>
      </c>
      <c r="G131" s="295" t="s">
        <v>1073</v>
      </c>
      <c r="H131" s="295" t="s">
        <v>1076</v>
      </c>
    </row>
    <row r="132" spans="1:10" hidden="1">
      <c r="A132" s="286" t="s">
        <v>1075</v>
      </c>
      <c r="B132" s="287" t="str">
        <f>IF('Project Info'!$K$79="No","[Delete this row]","Arrangements for providing training and information")</f>
        <v>Arrangements for providing training and information</v>
      </c>
      <c r="C132" s="34"/>
      <c r="D132" s="294" t="str">
        <f t="array" ref="D132">IF('Project Info'!$K$79="No", "No", IF(INDEX(TBL_Q_05_PAS_O3_B[Yes or No?], MATCH(1, (TBL_REF_07_PAS_Open_CheckList[[#This Row],[Index_Ref]]=TBL_Q_05_PAS_O3_B[Index_Ref])*(TBL_REF_07_PAS_Open_CheckList[[#This Row],[Ref]]=TBL_Q_05_PAS_O3_B[Ref]),0))="Yes", "Yes", "No"))</f>
        <v>No</v>
      </c>
      <c r="E132" s="295" t="str">
        <f>IF(TBL_REF_07_PAS_Open_CheckList[[#This Row],[Required?]]="N/A", "", IF(TBL_REF_07_PAS_Open_CheckList[[#This Row],[Required?]]="No", "Shade", IF(TBL_REF_07_PAS_Open_CheckList[[#This Row],[Enclosed?]]&lt;&gt;"", "Done", "Add")))</f>
        <v>Shade</v>
      </c>
      <c r="F132" s="295" t="s">
        <v>1472</v>
      </c>
      <c r="G132" s="295" t="s">
        <v>1075</v>
      </c>
      <c r="H132" s="295" t="s">
        <v>1078</v>
      </c>
    </row>
    <row r="133" spans="1:10" hidden="1">
      <c r="A133" s="286" t="s">
        <v>1077</v>
      </c>
      <c r="B133" s="287" t="str">
        <f>IF('Project Info'!$K$79="No","[Delete this row]","Check, review and improve quality management performance")</f>
        <v>Check, review and improve quality management performance</v>
      </c>
      <c r="C133" s="34"/>
      <c r="D133" s="294" t="str">
        <f t="array" ref="D133">IF('Project Info'!$K$79="No", "No", IF(INDEX(TBL_Q_05_PAS_O3_B[Yes or No?], MATCH(1, (TBL_REF_07_PAS_Open_CheckList[[#This Row],[Index_Ref]]=TBL_Q_05_PAS_O3_B[Index_Ref])*(TBL_REF_07_PAS_Open_CheckList[[#This Row],[Ref]]=TBL_Q_05_PAS_O3_B[Ref]),0))="Yes", "Yes", "No"))</f>
        <v>No</v>
      </c>
      <c r="E133" s="295" t="str">
        <f>IF(TBL_REF_07_PAS_Open_CheckList[[#This Row],[Required?]]="N/A", "", IF(TBL_REF_07_PAS_Open_CheckList[[#This Row],[Required?]]="No", "Shade", IF(TBL_REF_07_PAS_Open_CheckList[[#This Row],[Enclosed?]]&lt;&gt;"", "Done", "Add")))</f>
        <v>Shade</v>
      </c>
      <c r="F133" s="295" t="s">
        <v>1472</v>
      </c>
      <c r="G133" s="295" t="s">
        <v>1077</v>
      </c>
      <c r="H133" s="295" t="s">
        <v>1080</v>
      </c>
    </row>
    <row r="134" spans="1:10" hidden="1">
      <c r="A134" s="292" t="s">
        <v>1079</v>
      </c>
      <c r="B134" s="284" t="str">
        <f>IF('Project Info'!$K$79="No","[Delete this row]","Ensure suppliers apply quality management measures")</f>
        <v>Ensure suppliers apply quality management measures</v>
      </c>
      <c r="C134" s="293"/>
      <c r="D134" s="294" t="str">
        <f t="array" ref="D134">IF('Project Info'!$K$79="No", "No", IF(INDEX(TBL_Q_05_PAS_O3_B[Yes or No?], MATCH(1, (TBL_REF_07_PAS_Open_CheckList[[#This Row],[Index_Ref]]=TBL_Q_05_PAS_O3_B[Index_Ref])*(TBL_REF_07_PAS_Open_CheckList[[#This Row],[Ref]]=TBL_Q_05_PAS_O3_B[Ref]),0))="Yes", "Yes", "No"))</f>
        <v>No</v>
      </c>
      <c r="E134" s="297" t="str">
        <f>IF(TBL_REF_07_PAS_Open_CheckList[[#This Row],[Required?]]="N/A", "", IF(TBL_REF_07_PAS_Open_CheckList[[#This Row],[Required?]]="No", "Shade", IF(TBL_REF_07_PAS_Open_CheckList[[#This Row],[Enclosed?]]&lt;&gt;"", "Done", "Add")))</f>
        <v>Shade</v>
      </c>
      <c r="F134" s="295" t="s">
        <v>1472</v>
      </c>
      <c r="G134" s="297" t="s">
        <v>1079</v>
      </c>
      <c r="H134" s="297" t="s">
        <v>1081</v>
      </c>
    </row>
    <row r="135" spans="1:10" ht="15.5" hidden="1">
      <c r="A135" s="288" t="s">
        <v>144</v>
      </c>
      <c r="B135" s="289" t="str">
        <f>IF('Project Info'!$K$80="No", "Delete this section", "Optional 3:  Quality management policy and capability")</f>
        <v>Delete this section</v>
      </c>
      <c r="C135" s="290"/>
      <c r="D135" s="294" t="str">
        <f>IF('Project Info'!$K$80="No", "No", "N/A")</f>
        <v>No</v>
      </c>
      <c r="E135" s="295" t="str">
        <f>IF(TBL_REF_07_PAS_Open_CheckList[[#This Row],[Required?]]="N/A", "", IF(TBL_REF_07_PAS_Open_CheckList[[#This Row],[Required?]]="No", "Shade", IF(TBL_REF_07_PAS_Open_CheckList[[#This Row],[Enclosed?]]&lt;&gt;"", "Done", "Add")))</f>
        <v>Shade</v>
      </c>
      <c r="F135" s="295"/>
      <c r="G135" s="295"/>
      <c r="H135" s="295"/>
    </row>
    <row r="136" spans="1:10" hidden="1">
      <c r="A136" s="286" t="s">
        <v>1092</v>
      </c>
      <c r="B136" s="287" t="str">
        <f>IF('Project Info'!$K$80="No","[Delete this row]","Certificate of compliance with PAS 1192-2:2013 (or equivalent)")</f>
        <v>[Delete this row]</v>
      </c>
      <c r="C136" s="34"/>
      <c r="D136" s="294" t="str">
        <f>IF('Project Info'!$K$80="No", "No", IF(#REF!="Yes", "Yes", "No"))</f>
        <v>No</v>
      </c>
      <c r="E136" s="295" t="str">
        <f>IF(TBL_REF_07_PAS_Open_CheckList[[#This Row],[Required?]]="N/A", "", IF(TBL_REF_07_PAS_Open_CheckList[[#This Row],[Required?]]="No", "Shade", IF(TBL_REF_07_PAS_Open_CheckList[[#This Row],[Enclosed?]]&lt;&gt;"", "Done", "Add")))</f>
        <v>Shade</v>
      </c>
      <c r="F136" s="295" t="s">
        <v>1470</v>
      </c>
      <c r="G136" s="297" t="s">
        <v>24</v>
      </c>
      <c r="H136" s="297" t="s">
        <v>24</v>
      </c>
    </row>
    <row r="137" spans="1:10" hidden="1">
      <c r="A137" s="286" t="s">
        <v>1094</v>
      </c>
      <c r="B137" s="287" t="str">
        <f>IF('Project Info'!$K$80="No","[Delete this row]","Capability of working using “Common Data Environment”")</f>
        <v>[Delete this row]</v>
      </c>
      <c r="C137" s="34"/>
      <c r="D137" s="294" t="str">
        <f t="array" ref="D137">IF('Project Info'!$K$80="No", "No", IF(INDEX(#REF!, MATCH(1, (TBL_REF_07_PAS_Open_CheckList[[#This Row],[Index_Ref]]=#REF!)*(TBL_REF_07_PAS_Open_CheckList[[#This Row],[Ref]]=#REF!),0))="Yes", "Yes", "No"))</f>
        <v>No</v>
      </c>
      <c r="E137" s="295" t="str">
        <f>IF(TBL_REF_07_PAS_Open_CheckList[[#This Row],[Required?]]="N/A", "", IF(TBL_REF_07_PAS_Open_CheckList[[#This Row],[Required?]]="No", "Shade", IF(TBL_REF_07_PAS_Open_CheckList[[#This Row],[Enclosed?]]&lt;&gt;"", "Done", "Add")))</f>
        <v>Shade</v>
      </c>
      <c r="F137" s="295" t="s">
        <v>1473</v>
      </c>
      <c r="G137" s="295" t="s">
        <v>1094</v>
      </c>
      <c r="H137" s="295" t="s">
        <v>1095</v>
      </c>
    </row>
    <row r="138" spans="1:10" hidden="1">
      <c r="A138" s="286" t="s">
        <v>1096</v>
      </c>
      <c r="B138" s="287" t="str">
        <f>IF('Project Info'!$K$80="No","[Delete this row]","Documented policy, systems and procedures to achieve “Level 2 BIM”")</f>
        <v>[Delete this row]</v>
      </c>
      <c r="C138" s="34"/>
      <c r="D138" s="294" t="str">
        <f t="array" ref="D138">IF('Project Info'!$K$80="No", "No", IF(INDEX(#REF!, MATCH(1, (TBL_REF_07_PAS_Open_CheckList[[#This Row],[Index_Ref]]=#REF!)*(TBL_REF_07_PAS_Open_CheckList[[#This Row],[Ref]]=#REF!),0))="Yes", "Yes", "No"))</f>
        <v>No</v>
      </c>
      <c r="E138" s="295" t="str">
        <f>IF(TBL_REF_07_PAS_Open_CheckList[[#This Row],[Required?]]="N/A", "", IF(TBL_REF_07_PAS_Open_CheckList[[#This Row],[Required?]]="No", "Shade", IF(TBL_REF_07_PAS_Open_CheckList[[#This Row],[Enclosed?]]&lt;&gt;"", "Done", "Add")))</f>
        <v>Shade</v>
      </c>
      <c r="F138" s="295" t="s">
        <v>1473</v>
      </c>
      <c r="G138" s="295" t="s">
        <v>1096</v>
      </c>
      <c r="H138" s="295" t="s">
        <v>1097</v>
      </c>
    </row>
    <row r="139" spans="1:10" hidden="1">
      <c r="A139" s="286" t="s">
        <v>1098</v>
      </c>
      <c r="B139" s="287" t="str">
        <f>IF('Project Info'!$K$80="No","[Delete this row]","Capability of developing and delivering or working to a BEP")</f>
        <v>[Delete this row]</v>
      </c>
      <c r="C139" s="34"/>
      <c r="D139" s="294" t="str">
        <f t="array" ref="D139">IF('Project Info'!$K$80="No", "No", IF(INDEX(#REF!, MATCH(1, (TBL_REF_07_PAS_Open_CheckList[[#This Row],[Index_Ref]]=#REF!)*(TBL_REF_07_PAS_Open_CheckList[[#This Row],[Ref]]=#REF!),0))="Yes", "Yes", "No"))</f>
        <v>No</v>
      </c>
      <c r="E139" s="295" t="str">
        <f>IF(TBL_REF_07_PAS_Open_CheckList[[#This Row],[Required?]]="N/A", "", IF(TBL_REF_07_PAS_Open_CheckList[[#This Row],[Required?]]="No", "Shade", IF(TBL_REF_07_PAS_Open_CheckList[[#This Row],[Enclosed?]]&lt;&gt;"", "Done", "Add")))</f>
        <v>Shade</v>
      </c>
      <c r="F139" s="295" t="s">
        <v>1473</v>
      </c>
      <c r="G139" s="295" t="s">
        <v>1098</v>
      </c>
      <c r="H139" s="295" t="s">
        <v>1099</v>
      </c>
    </row>
    <row r="140" spans="1:10" hidden="1">
      <c r="A140" s="286" t="s">
        <v>1100</v>
      </c>
      <c r="B140" s="287" t="str">
        <f>IF('Project Info'!$K$80="No","[Delete this row]","Arrangements for training employees and assess capabilities")</f>
        <v>[Delete this row]</v>
      </c>
      <c r="C140" s="34"/>
      <c r="D140" s="294" t="str">
        <f t="array" ref="D140">IF('Project Info'!$K$80="No", "No", IF(INDEX(#REF!, MATCH(1, (TBL_REF_07_PAS_Open_CheckList[[#This Row],[Index_Ref]]=#REF!)*(TBL_REF_07_PAS_Open_CheckList[[#This Row],[Ref]]=#REF!),0))="Yes", "Yes", "No"))</f>
        <v>No</v>
      </c>
      <c r="E140" s="295" t="str">
        <f>IF(TBL_REF_07_PAS_Open_CheckList[[#This Row],[Required?]]="N/A", "", IF(TBL_REF_07_PAS_Open_CheckList[[#This Row],[Required?]]="No", "Shade", IF(TBL_REF_07_PAS_Open_CheckList[[#This Row],[Enclosed?]]&lt;&gt;"", "Done", "Add")))</f>
        <v>Shade</v>
      </c>
      <c r="F140" s="295" t="s">
        <v>1473</v>
      </c>
      <c r="G140" s="295" t="s">
        <v>1100</v>
      </c>
      <c r="H140" s="295" t="s">
        <v>1101</v>
      </c>
    </row>
    <row r="141" spans="1:10" hidden="1"/>
    <row r="142" spans="1:10" ht="46.5" hidden="1">
      <c r="A142" s="288"/>
      <c r="B142" s="289" t="s">
        <v>2230</v>
      </c>
      <c r="C142" s="583" t="s">
        <v>2231</v>
      </c>
      <c r="D142" s="330"/>
      <c r="E142" s="330"/>
      <c r="F142" s="330"/>
      <c r="G142" s="330"/>
      <c r="H142" s="330"/>
      <c r="I142" s="583" t="s">
        <v>2232</v>
      </c>
      <c r="J142" s="583" t="s">
        <v>2233</v>
      </c>
    </row>
    <row r="143" spans="1:10" hidden="1">
      <c r="A143" s="584" t="s">
        <v>2234</v>
      </c>
      <c r="B143" s="587" t="s">
        <v>2235</v>
      </c>
      <c r="C143" s="585"/>
      <c r="D143" s="294"/>
      <c r="E143" s="294" t="str">
        <f t="shared" ref="E143:E154" si="0">IF(C143&lt;&gt;"", "Done", "Add")</f>
        <v>Add</v>
      </c>
      <c r="F143" s="294" t="str">
        <f t="shared" ref="F143:F152" si="1">IF(I143&lt;&gt;"", "Done", "Add")</f>
        <v>Add</v>
      </c>
      <c r="G143" s="294"/>
      <c r="H143" s="294"/>
      <c r="I143" s="586"/>
      <c r="J143" s="588" t="s">
        <v>24</v>
      </c>
    </row>
    <row r="144" spans="1:10" hidden="1">
      <c r="A144" s="584" t="s">
        <v>2234</v>
      </c>
      <c r="B144" s="587" t="s">
        <v>2235</v>
      </c>
      <c r="C144" s="585"/>
      <c r="D144" s="294"/>
      <c r="E144" s="294" t="str">
        <f t="shared" si="0"/>
        <v>Add</v>
      </c>
      <c r="F144" s="294" t="str">
        <f t="shared" si="1"/>
        <v>Add</v>
      </c>
      <c r="G144" s="294"/>
      <c r="H144" s="294"/>
      <c r="I144" s="586"/>
      <c r="J144" s="588" t="s">
        <v>24</v>
      </c>
    </row>
    <row r="145" spans="1:10" hidden="1">
      <c r="A145" s="584" t="s">
        <v>2234</v>
      </c>
      <c r="B145" s="587" t="s">
        <v>2235</v>
      </c>
      <c r="C145" s="585"/>
      <c r="D145" s="294"/>
      <c r="E145" s="294" t="str">
        <f t="shared" si="0"/>
        <v>Add</v>
      </c>
      <c r="F145" s="294" t="str">
        <f t="shared" si="1"/>
        <v>Add</v>
      </c>
      <c r="G145" s="294"/>
      <c r="H145" s="294"/>
      <c r="I145" s="586"/>
      <c r="J145" s="588" t="s">
        <v>24</v>
      </c>
    </row>
    <row r="146" spans="1:10" hidden="1">
      <c r="A146" s="584" t="s">
        <v>2234</v>
      </c>
      <c r="B146" s="587" t="s">
        <v>2235</v>
      </c>
      <c r="C146" s="585"/>
      <c r="D146" s="294"/>
      <c r="E146" s="294" t="str">
        <f t="shared" si="0"/>
        <v>Add</v>
      </c>
      <c r="F146" s="294" t="str">
        <f t="shared" si="1"/>
        <v>Add</v>
      </c>
      <c r="G146" s="294"/>
      <c r="H146" s="294"/>
      <c r="I146" s="586"/>
      <c r="J146" s="588" t="s">
        <v>24</v>
      </c>
    </row>
    <row r="147" spans="1:10" hidden="1">
      <c r="A147" s="584" t="s">
        <v>2234</v>
      </c>
      <c r="B147" s="587" t="s">
        <v>2235</v>
      </c>
      <c r="C147" s="585"/>
      <c r="D147" s="294"/>
      <c r="E147" s="294" t="str">
        <f t="shared" si="0"/>
        <v>Add</v>
      </c>
      <c r="F147" s="294" t="str">
        <f t="shared" si="1"/>
        <v>Add</v>
      </c>
      <c r="G147" s="294"/>
      <c r="H147" s="294"/>
      <c r="I147" s="586"/>
      <c r="J147" s="588" t="s">
        <v>24</v>
      </c>
    </row>
    <row r="148" spans="1:10" hidden="1">
      <c r="A148" s="584" t="s">
        <v>2234</v>
      </c>
      <c r="B148" s="587" t="s">
        <v>2235</v>
      </c>
      <c r="C148" s="585"/>
      <c r="D148" s="294"/>
      <c r="E148" s="294" t="str">
        <f t="shared" si="0"/>
        <v>Add</v>
      </c>
      <c r="F148" s="294" t="str">
        <f t="shared" si="1"/>
        <v>Add</v>
      </c>
      <c r="G148" s="294"/>
      <c r="H148" s="294"/>
      <c r="I148" s="586"/>
      <c r="J148" s="588" t="s">
        <v>24</v>
      </c>
    </row>
    <row r="149" spans="1:10" hidden="1">
      <c r="A149" s="584" t="s">
        <v>2234</v>
      </c>
      <c r="B149" s="587" t="s">
        <v>2235</v>
      </c>
      <c r="C149" s="585"/>
      <c r="D149" s="294"/>
      <c r="E149" s="294" t="str">
        <f t="shared" si="0"/>
        <v>Add</v>
      </c>
      <c r="F149" s="294" t="str">
        <f t="shared" si="1"/>
        <v>Add</v>
      </c>
      <c r="G149" s="294"/>
      <c r="H149" s="294"/>
      <c r="I149" s="586"/>
      <c r="J149" s="588" t="s">
        <v>24</v>
      </c>
    </row>
    <row r="150" spans="1:10" hidden="1">
      <c r="A150" s="584" t="s">
        <v>2234</v>
      </c>
      <c r="B150" s="587" t="s">
        <v>2235</v>
      </c>
      <c r="C150" s="585"/>
      <c r="D150" s="294"/>
      <c r="E150" s="294" t="str">
        <f t="shared" si="0"/>
        <v>Add</v>
      </c>
      <c r="F150" s="294" t="str">
        <f t="shared" si="1"/>
        <v>Add</v>
      </c>
      <c r="G150" s="294"/>
      <c r="H150" s="294"/>
      <c r="I150" s="586"/>
      <c r="J150" s="588" t="s">
        <v>24</v>
      </c>
    </row>
    <row r="151" spans="1:10" hidden="1">
      <c r="A151" s="584" t="s">
        <v>2234</v>
      </c>
      <c r="B151" s="587" t="s">
        <v>2235</v>
      </c>
      <c r="C151" s="585"/>
      <c r="D151" s="294"/>
      <c r="E151" s="294" t="str">
        <f t="shared" si="0"/>
        <v>Add</v>
      </c>
      <c r="F151" s="294" t="str">
        <f t="shared" si="1"/>
        <v>Add</v>
      </c>
      <c r="G151" s="294"/>
      <c r="H151" s="294"/>
      <c r="I151" s="586"/>
      <c r="J151" s="588" t="s">
        <v>24</v>
      </c>
    </row>
    <row r="152" spans="1:10" hidden="1">
      <c r="A152" s="584" t="s">
        <v>2234</v>
      </c>
      <c r="B152" s="587" t="s">
        <v>2235</v>
      </c>
      <c r="C152" s="585"/>
      <c r="D152" s="294"/>
      <c r="E152" s="294" t="str">
        <f t="shared" si="0"/>
        <v>Add</v>
      </c>
      <c r="F152" s="294" t="str">
        <f t="shared" si="1"/>
        <v>Add</v>
      </c>
      <c r="G152" s="294"/>
      <c r="H152" s="294"/>
      <c r="I152" s="586"/>
      <c r="J152" s="588" t="s">
        <v>24</v>
      </c>
    </row>
    <row r="153" spans="1:10" ht="31" hidden="1">
      <c r="A153" s="583"/>
      <c r="B153" s="583"/>
      <c r="C153" s="583" t="s">
        <v>2236</v>
      </c>
      <c r="D153" s="294"/>
      <c r="E153" s="294"/>
      <c r="F153" s="294"/>
      <c r="G153" s="294"/>
      <c r="H153" s="294"/>
      <c r="I153" s="583"/>
      <c r="J153" s="583"/>
    </row>
    <row r="154" spans="1:10" ht="25" hidden="1">
      <c r="A154" s="584" t="s">
        <v>2200</v>
      </c>
      <c r="B154" s="283" t="s">
        <v>2237</v>
      </c>
      <c r="C154" s="585"/>
      <c r="D154" s="294"/>
      <c r="E154" s="294" t="str">
        <f t="shared" si="0"/>
        <v>Add</v>
      </c>
      <c r="F154" s="294"/>
      <c r="G154" s="294"/>
      <c r="H154" s="294"/>
      <c r="I154" s="588" t="s">
        <v>24</v>
      </c>
      <c r="J154" s="588" t="s">
        <v>24</v>
      </c>
    </row>
    <row r="155" spans="1:10" hidden="1"/>
    <row r="156" spans="1:10" hidden="1"/>
    <row r="157" spans="1:10" hidden="1"/>
    <row r="158" spans="1:10" hidden="1"/>
  </sheetData>
  <sheetProtection algorithmName="SHA-512" hashValue="JElibL/j6S3k4n2bIYfeBq336FsLaeyUgV2IEofq7SpCtjixYYTvvpjyENfi/qRe7zpeg5ncWVNIaLEWitPmew==" saltValue="o03l68uhZRbiYNBTsQ/fyA==" spinCount="100000" sheet="1" objects="1" scenarios="1"/>
  <protectedRanges>
    <protectedRange sqref="C24:C32 C74:C105 C34:C72 C129:C134 C136:C140 C107:C120 C122:C127 C143:I152 C154" name="Data"/>
  </protectedRanges>
  <mergeCells count="8">
    <mergeCell ref="B18:C18"/>
    <mergeCell ref="A20:C20"/>
    <mergeCell ref="A6:C6"/>
    <mergeCell ref="B8:C8"/>
    <mergeCell ref="B10:C10"/>
    <mergeCell ref="B12:C12"/>
    <mergeCell ref="B14:C14"/>
    <mergeCell ref="B16:C16"/>
  </mergeCells>
  <conditionalFormatting sqref="C23:C140">
    <cfRule type="expression" dxfId="169" priority="88">
      <formula>INDIRECT("E"&amp;ROW())="Shade"</formula>
    </cfRule>
    <cfRule type="expression" dxfId="168" priority="89">
      <formula>INDIRECT("E"&amp;ROW())="Done"</formula>
    </cfRule>
    <cfRule type="expression" dxfId="167" priority="90">
      <formula>INDIRECT("E"&amp;ROW())="Add"</formula>
    </cfRule>
  </conditionalFormatting>
  <conditionalFormatting sqref="C142:C154">
    <cfRule type="expression" dxfId="166" priority="2">
      <formula>INDIRECT("E"&amp;ROW())="Done"</formula>
    </cfRule>
    <cfRule type="expression" dxfId="165" priority="3">
      <formula>INDIRECT("E"&amp;ROW())="Add"</formula>
    </cfRule>
  </conditionalFormatting>
  <conditionalFormatting sqref="C143:C152 I143:I152 C154">
    <cfRule type="containsBlanks" dxfId="164" priority="1">
      <formula>LEN(TRIM(C143))=0</formula>
    </cfRule>
  </conditionalFormatting>
  <dataValidations count="1">
    <dataValidation type="list" allowBlank="1" showInputMessage="1" showErrorMessage="1" sqref="C24:C32 C74:C105 C34:C72 C107:C120 C122:C127 C129:C134 C136:C140" xr:uid="{667E6C77-5F72-4143-9419-07677D273A84}">
      <formula1>"Enclosed, N/A"</formula1>
    </dataValidation>
  </dataValidations>
  <pageMargins left="0.78740157480314965" right="0.78740157480314965" top="0.39370078740157483" bottom="0.78740157480314965" header="0" footer="0.39370078740157483"/>
  <pageSetup paperSize="9" orientation="portrait" r:id="rId1"/>
  <headerFooter>
    <oddFooter>&amp;C&amp;"Arial,Regular"&amp;10&amp;K00-049&amp;P</oddFooter>
  </headerFooter>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77C77-4DB1-402B-918A-52AEDFF29B4C}">
  <sheetPr codeName="Sheet50"/>
  <dimension ref="A1:J12"/>
  <sheetViews>
    <sheetView showGridLines="0" tabSelected="1" zoomScaleNormal="100" workbookViewId="0">
      <selection activeCell="D19" sqref="D19"/>
    </sheetView>
  </sheetViews>
  <sheetFormatPr defaultColWidth="9" defaultRowHeight="12.5"/>
  <cols>
    <col min="1" max="1" width="9.453125" style="119" customWidth="1"/>
    <col min="2" max="2" width="46.6328125" style="119" customWidth="1"/>
    <col min="3" max="3" width="16.453125" style="119" customWidth="1"/>
    <col min="4" max="4" width="19.08984375" style="125" customWidth="1"/>
    <col min="5" max="5" width="17.6328125" style="119" customWidth="1"/>
    <col min="6" max="6" width="9.08984375" style="119" hidden="1" customWidth="1"/>
    <col min="7" max="7" width="10.08984375" style="124" hidden="1" customWidth="1"/>
    <col min="8" max="10" width="0" style="119" hidden="1" customWidth="1"/>
    <col min="11" max="16384" width="9" style="119"/>
  </cols>
  <sheetData>
    <row r="1" spans="1:10" s="343"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I1" s="554" t="str">
        <f>IF(COUNTIF(G:G, "Add")&gt;0, "Incomplete", "Complete")</f>
        <v>Complete</v>
      </c>
      <c r="J1" s="554">
        <v>1</v>
      </c>
    </row>
    <row r="2" spans="1:10" s="343" customFormat="1" ht="12.5" customHeight="1">
      <c r="A2" s="54" t="str">
        <f t="array" ref="A2">CONCATENATE(INDEX(TBL_DATA_00_Doc_Merge[Supplier_Type], MATCH(1, (REF_Doc_Lot=TBL_DATA_00_Doc_Merge[Lot])*(REF_Job_No=TBL_DATA_00_Doc_Merge[Job_No]),0)), ":")</f>
        <v>Supplier:</v>
      </c>
      <c r="B2" s="54" t="str">
        <f>Response!$A$2</f>
        <v>Purdy Contracts Ltd</v>
      </c>
      <c r="C2" s="54"/>
      <c r="D2" s="342"/>
      <c r="G2" s="348"/>
    </row>
    <row r="3" spans="1:10" s="343" customFormat="1" ht="12.5" customHeight="1">
      <c r="D3" s="342"/>
      <c r="G3" s="348"/>
    </row>
    <row r="4" spans="1:10" s="27" customFormat="1" ht="17.5">
      <c r="A4" s="91" t="str">
        <f>CONCATENATE("Price submission (", TBL_DATA_00_Doc_Merge[[#This Row],[PF_or_TB?]], ")")</f>
        <v>Price submission (Price Framework)</v>
      </c>
      <c r="C4" s="131"/>
      <c r="D4" s="36"/>
      <c r="G4" s="36"/>
    </row>
    <row r="5" spans="1:10" s="1" customFormat="1" ht="14">
      <c r="D5" s="30"/>
      <c r="G5" s="15"/>
    </row>
    <row r="6" spans="1:10" s="116" customFormat="1" ht="14">
      <c r="A6" s="215" t="str">
        <f>"Section "&amp;$J$1</f>
        <v>Section 1</v>
      </c>
      <c r="B6" s="300" t="s">
        <v>2244</v>
      </c>
      <c r="C6" s="302"/>
      <c r="D6" s="303"/>
      <c r="G6" s="129"/>
    </row>
    <row r="8" spans="1:10" ht="26">
      <c r="A8" s="559" t="s">
        <v>90</v>
      </c>
      <c r="B8" s="560" t="s">
        <v>91</v>
      </c>
      <c r="C8" s="133" t="s">
        <v>2248</v>
      </c>
      <c r="D8" s="591" t="s">
        <v>2249</v>
      </c>
      <c r="E8" s="591" t="s">
        <v>2565</v>
      </c>
      <c r="F8" s="560" t="s">
        <v>488</v>
      </c>
      <c r="G8" s="563" t="s">
        <v>493</v>
      </c>
      <c r="I8" s="124"/>
    </row>
    <row r="9" spans="1:10" ht="25.25" customHeight="1">
      <c r="A9" s="593" t="s">
        <v>494</v>
      </c>
      <c r="B9" s="665" t="s">
        <v>2250</v>
      </c>
      <c r="C9" s="666">
        <v>-0.05</v>
      </c>
      <c r="D9" s="673">
        <v>475000</v>
      </c>
      <c r="E9" s="644">
        <f>IF(TBL_PF_1[[#This Row],[Check?]]="Add","Missing info",ROUND(TBL_PF_1[[#This Row],[Figure for evaluation purposes]]+(TBL_PF_1[[#This Row],[Figure for evaluation purposes]]*TBL_PF_1[[#This Row],[Adjustment % (+ or -)]]),2))</f>
        <v>451250</v>
      </c>
      <c r="F9" s="565"/>
      <c r="G9" s="566" t="str">
        <f>IF(TBL_PF_1[[#This Row],[Shade?]]&lt;&gt;"", "N/A", IF(TBL_PF_1[[#This Row],[Adjustment % (+ or -)]]&lt;&gt;"", "Done", "Add"))</f>
        <v>Done</v>
      </c>
      <c r="I9" s="124"/>
    </row>
    <row r="10" spans="1:10" ht="25.25" customHeight="1">
      <c r="A10" s="593" t="s">
        <v>495</v>
      </c>
      <c r="B10" s="665" t="s">
        <v>2251</v>
      </c>
      <c r="C10" s="666">
        <v>-0.05</v>
      </c>
      <c r="D10" s="673">
        <v>650000</v>
      </c>
      <c r="E10" s="644">
        <f>IF(TBL_PF_1[[#This Row],[Check?]]="Add","Missing info",ROUND(TBL_PF_1[[#This Row],[Figure for evaluation purposes]]+(TBL_PF_1[[#This Row],[Figure for evaluation purposes]]*TBL_PF_1[[#This Row],[Adjustment % (+ or -)]]),2))</f>
        <v>617500</v>
      </c>
      <c r="F10" s="565"/>
      <c r="G10" s="566" t="str">
        <f>IF(TBL_PF_1[[#This Row],[Shade?]]&lt;&gt;"", "N/A", IF(TBL_PF_1[[#This Row],[Adjustment % (+ or -)]]&lt;&gt;"", "Done", "Add"))</f>
        <v>Done</v>
      </c>
      <c r="I10" s="124"/>
    </row>
    <row r="12" spans="1:10" ht="13">
      <c r="D12" s="672"/>
    </row>
  </sheetData>
  <sheetProtection algorithmName="SHA-512" hashValue="99rEZCyeF+qEtWm6uS4HKNBwrE/mIxC3tA2rx7EsECiS4aJ326KnmA0+jufyc+4ehI4Z63x0cyk+hTkiDM42iA==" saltValue="qAHDHcrIvmv1iyxC+DRBzQ==" spinCount="100000" sheet="1" objects="1" scenarios="1"/>
  <conditionalFormatting sqref="C1:C1048576">
    <cfRule type="expression" dxfId="57" priority="7">
      <formula>INDIRECT("G"&amp;ROW())="Done"</formula>
    </cfRule>
    <cfRule type="expression" dxfId="56" priority="8">
      <formula>INDIRECT("G"&amp;ROW())="Add"</formula>
    </cfRule>
  </conditionalFormatting>
  <dataValidations count="1">
    <dataValidation type="decimal" operator="greaterThanOrEqual" allowBlank="1" showInputMessage="1" showErrorMessage="1" sqref="C10 C9" xr:uid="{83C2792C-32FC-4A3A-821F-C190657B65C7}">
      <formula1>-1</formula1>
    </dataValidation>
  </dataValidations>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53F43-2741-4AC8-9C62-4C0B9062293D}">
  <dimension ref="A1:J157"/>
  <sheetViews>
    <sheetView showGridLines="0" topLeftCell="A127" zoomScaleNormal="100" workbookViewId="0">
      <selection activeCell="M16" sqref="M16"/>
    </sheetView>
  </sheetViews>
  <sheetFormatPr defaultColWidth="9" defaultRowHeight="12.5"/>
  <cols>
    <col min="1" max="1" width="9.453125" style="119" customWidth="1"/>
    <col min="2" max="2" width="10.6328125" style="119" customWidth="1"/>
    <col min="3" max="3" width="46.36328125" style="119" customWidth="1"/>
    <col min="4" max="4" width="19.08984375" style="125" customWidth="1"/>
    <col min="5" max="5" width="17.6328125" style="119" customWidth="1"/>
    <col min="6" max="6" width="9.36328125" style="119" hidden="1" customWidth="1"/>
    <col min="7" max="7" width="10.08984375" style="124" hidden="1" customWidth="1"/>
    <col min="8" max="10" width="9" style="119" hidden="1" customWidth="1"/>
    <col min="11" max="16384" width="9" style="119"/>
  </cols>
  <sheetData>
    <row r="1" spans="1:10" s="343"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I1" s="554" t="str">
        <f>IF(COUNTIF(G:G, "Add")&gt;0, "Incomplete", "Complete")</f>
        <v>Complete</v>
      </c>
      <c r="J1" s="554">
        <v>2</v>
      </c>
    </row>
    <row r="2" spans="1:10" s="343" customFormat="1" ht="12.5" customHeight="1">
      <c r="A2" s="54" t="str">
        <f t="array" ref="A2">CONCATENATE(INDEX(TBL_DATA_00_Doc_Merge[Supplier_Type], MATCH(1, (REF_Doc_Lot=TBL_DATA_00_Doc_Merge[Lot])*(REF_Job_No=TBL_DATA_00_Doc_Merge[Job_No]),0)), ":")</f>
        <v>Supplier:</v>
      </c>
      <c r="B2" s="54" t="str">
        <f>Response!$A$2</f>
        <v>Purdy Contracts Ltd</v>
      </c>
      <c r="C2" s="54"/>
      <c r="D2" s="342"/>
      <c r="G2" s="348"/>
    </row>
    <row r="3" spans="1:10" s="343" customFormat="1" ht="12.5" customHeight="1">
      <c r="D3" s="342"/>
      <c r="G3" s="348"/>
    </row>
    <row r="4" spans="1:10" s="27" customFormat="1" ht="17.5">
      <c r="A4" s="91" t="str">
        <f>CONCATENATE("Price submission (", TBL_DATA_00_Doc_Merge[[#This Row],[PF_or_TB?]], ")")</f>
        <v>Price submission (Price Framework)</v>
      </c>
      <c r="C4" s="131"/>
      <c r="D4" s="36"/>
      <c r="G4" s="36"/>
    </row>
    <row r="5" spans="1:10" s="1" customFormat="1" ht="14">
      <c r="D5" s="30"/>
      <c r="G5" s="15"/>
    </row>
    <row r="6" spans="1:10" s="116" customFormat="1" ht="14">
      <c r="A6" s="215" t="str">
        <f>"Section "&amp;$J$1</f>
        <v>Section 2</v>
      </c>
      <c r="B6" s="300" t="s">
        <v>2595</v>
      </c>
      <c r="C6" s="302"/>
      <c r="D6" s="303"/>
      <c r="G6" s="129"/>
    </row>
    <row r="7" spans="1:10" s="116" customFormat="1" ht="14">
      <c r="A7" s="215"/>
      <c r="B7" s="300"/>
      <c r="C7" s="302"/>
      <c r="D7" s="303"/>
      <c r="G7" s="129"/>
    </row>
    <row r="8" spans="1:10" s="116" customFormat="1" ht="14">
      <c r="A8" s="302" t="s">
        <v>2310</v>
      </c>
      <c r="B8" s="300"/>
      <c r="D8" s="303"/>
      <c r="G8" s="129"/>
    </row>
    <row r="9" spans="1:10" s="116" customFormat="1" ht="14">
      <c r="A9" s="215"/>
      <c r="B9" s="300"/>
      <c r="C9" s="302"/>
      <c r="D9" s="303"/>
      <c r="G9" s="129"/>
    </row>
    <row r="10" spans="1:10" s="116" customFormat="1" ht="14">
      <c r="A10" s="632" t="s">
        <v>90</v>
      </c>
      <c r="B10" s="625" t="s">
        <v>2333</v>
      </c>
      <c r="C10" s="632" t="s">
        <v>91</v>
      </c>
      <c r="D10" s="628" t="s">
        <v>2334</v>
      </c>
      <c r="E10" s="638" t="s">
        <v>2309</v>
      </c>
      <c r="F10" s="629" t="s">
        <v>488</v>
      </c>
      <c r="G10" s="630" t="s">
        <v>493</v>
      </c>
      <c r="H10" s="129"/>
    </row>
    <row r="11" spans="1:10" s="116" customFormat="1" ht="24" customHeight="1">
      <c r="A11" s="635" t="s">
        <v>2252</v>
      </c>
      <c r="B11" s="636" t="s">
        <v>2258</v>
      </c>
      <c r="C11" s="633" t="s">
        <v>2332</v>
      </c>
      <c r="D11" s="634">
        <v>-0.05</v>
      </c>
      <c r="E11" s="637"/>
      <c r="F11" s="626"/>
      <c r="G11" s="627" t="str">
        <f>IF(TBL_PF_2A[[#This Row],[Shade?]]&lt;&gt;"", "N/A", IF(TBL_PF_2A[[#This Row],[Adjustment ]]&lt;&gt;"", "Done", "Add"))</f>
        <v>Done</v>
      </c>
      <c r="H11" s="129"/>
    </row>
    <row r="12" spans="1:10" s="116" customFormat="1" ht="14">
      <c r="A12" s="215"/>
      <c r="B12" s="300"/>
      <c r="C12" s="302"/>
      <c r="D12" s="303"/>
      <c r="G12" s="129"/>
    </row>
    <row r="13" spans="1:10" s="116" customFormat="1" ht="14">
      <c r="A13" s="215" t="s">
        <v>2311</v>
      </c>
      <c r="B13" s="300"/>
      <c r="D13" s="303"/>
      <c r="G13" s="129"/>
    </row>
    <row r="15" spans="1:10" ht="13">
      <c r="A15" s="559" t="s">
        <v>90</v>
      </c>
      <c r="B15" s="561" t="s">
        <v>503</v>
      </c>
      <c r="C15" s="631" t="s">
        <v>91</v>
      </c>
      <c r="D15" s="562" t="s">
        <v>492</v>
      </c>
      <c r="E15" s="562" t="s">
        <v>2308</v>
      </c>
      <c r="F15" s="560" t="s">
        <v>488</v>
      </c>
      <c r="G15" s="563" t="s">
        <v>493</v>
      </c>
      <c r="I15" s="124"/>
    </row>
    <row r="16" spans="1:10">
      <c r="A16" s="594" t="s">
        <v>2253</v>
      </c>
      <c r="B16" s="606" t="s">
        <v>2312</v>
      </c>
      <c r="C16" s="598" t="s">
        <v>2688</v>
      </c>
      <c r="D16" s="130">
        <v>2300</v>
      </c>
      <c r="E16" s="130" cm="1">
        <f t="array" ref="E16">IF(COUNTIF(TBL_PF_2A[Check?],"Add")&gt;0,"Missing info",ROUND((TBL_PF_2A[[Adjustment ]]*(TBL_PF_2B[[#This Row],[Rate]])+TBL_PF_2B[[#This Row],[Rate]]),2))</f>
        <v>2185</v>
      </c>
      <c r="F16" s="565"/>
      <c r="G16" s="566"/>
      <c r="I16" s="124"/>
    </row>
    <row r="17" spans="1:9">
      <c r="A17" s="594" t="s">
        <v>2254</v>
      </c>
      <c r="B17" s="606" t="s">
        <v>2312</v>
      </c>
      <c r="C17" s="598" t="s">
        <v>2343</v>
      </c>
      <c r="D17" s="599">
        <v>1350</v>
      </c>
      <c r="E17" s="599" cm="1">
        <f t="array" ref="E17">IF(COUNTIF(TBL_PF_2A[Check?],"Add")&gt;0,"Missing info",ROUND((TBL_PF_2A[[Adjustment ]]*(TBL_PF_2B[[#This Row],[Rate]])+TBL_PF_2B[[#This Row],[Rate]]),2))</f>
        <v>1282.5</v>
      </c>
      <c r="F17" s="598"/>
      <c r="G17" s="600"/>
      <c r="I17" s="124"/>
    </row>
    <row r="18" spans="1:9">
      <c r="A18" s="594" t="s">
        <v>2255</v>
      </c>
      <c r="B18" s="606" t="s">
        <v>2312</v>
      </c>
      <c r="C18" s="598" t="s">
        <v>2344</v>
      </c>
      <c r="D18" s="599">
        <v>1750</v>
      </c>
      <c r="E18" s="599" cm="1">
        <f t="array" ref="E18">IF(COUNTIF(TBL_PF_2A[Check?],"Add")&gt;0,"Missing info",ROUND((TBL_PF_2A[[Adjustment ]]*(TBL_PF_2B[[#This Row],[Rate]])+TBL_PF_2B[[#This Row],[Rate]]),2))</f>
        <v>1662.5</v>
      </c>
      <c r="F18" s="598"/>
      <c r="G18" s="600"/>
      <c r="I18" s="124"/>
    </row>
    <row r="19" spans="1:9">
      <c r="A19" s="594" t="s">
        <v>2256</v>
      </c>
      <c r="B19" s="606" t="s">
        <v>2312</v>
      </c>
      <c r="C19" s="598" t="s">
        <v>2345</v>
      </c>
      <c r="D19" s="599">
        <v>800</v>
      </c>
      <c r="E19" s="599" cm="1">
        <f t="array" ref="E19">IF(COUNTIF(TBL_PF_2A[Check?],"Add")&gt;0,"Missing info",ROUND((TBL_PF_2A[[Adjustment ]]*(TBL_PF_2B[[#This Row],[Rate]])+TBL_PF_2B[[#This Row],[Rate]]),2))</f>
        <v>760</v>
      </c>
      <c r="F19" s="598"/>
      <c r="G19" s="600"/>
      <c r="I19" s="124"/>
    </row>
    <row r="20" spans="1:9">
      <c r="A20" s="594" t="s">
        <v>2313</v>
      </c>
      <c r="B20" s="606" t="s">
        <v>2312</v>
      </c>
      <c r="C20" s="598" t="s">
        <v>2689</v>
      </c>
      <c r="D20" s="599">
        <v>3450</v>
      </c>
      <c r="E20" s="599" cm="1">
        <f t="array" ref="E20">IF(COUNTIF(TBL_PF_2A[Check?],"Add")&gt;0,"Missing info",ROUND((TBL_PF_2A[[Adjustment ]]*(TBL_PF_2B[[#This Row],[Rate]])+TBL_PF_2B[[#This Row],[Rate]]),2))</f>
        <v>3277.5</v>
      </c>
      <c r="F20" s="598"/>
      <c r="G20" s="600"/>
      <c r="I20" s="124"/>
    </row>
    <row r="21" spans="1:9">
      <c r="A21" s="594" t="s">
        <v>2314</v>
      </c>
      <c r="B21" s="606" t="s">
        <v>2312</v>
      </c>
      <c r="C21" s="598" t="s">
        <v>2346</v>
      </c>
      <c r="D21" s="599">
        <v>2800</v>
      </c>
      <c r="E21" s="599" cm="1">
        <f t="array" ref="E21">IF(COUNTIF(TBL_PF_2A[Check?],"Add")&gt;0,"Missing info",ROUND((TBL_PF_2A[[Adjustment ]]*(TBL_PF_2B[[#This Row],[Rate]])+TBL_PF_2B[[#This Row],[Rate]]),2))</f>
        <v>2660</v>
      </c>
      <c r="F21" s="598"/>
      <c r="G21" s="600"/>
      <c r="I21" s="124"/>
    </row>
    <row r="22" spans="1:9">
      <c r="A22" s="594" t="s">
        <v>2315</v>
      </c>
      <c r="B22" s="606" t="s">
        <v>2312</v>
      </c>
      <c r="C22" s="598" t="s">
        <v>2347</v>
      </c>
      <c r="D22" s="599">
        <v>3025</v>
      </c>
      <c r="E22" s="599" cm="1">
        <f t="array" ref="E22">IF(COUNTIF(TBL_PF_2A[Check?],"Add")&gt;0,"Missing info",ROUND((TBL_PF_2A[[Adjustment ]]*(TBL_PF_2B[[#This Row],[Rate]])+TBL_PF_2B[[#This Row],[Rate]]),2))</f>
        <v>2873.75</v>
      </c>
      <c r="F22" s="598"/>
      <c r="G22" s="600"/>
      <c r="I22" s="124"/>
    </row>
    <row r="23" spans="1:9">
      <c r="A23" s="594" t="s">
        <v>2316</v>
      </c>
      <c r="B23" s="606" t="s">
        <v>2312</v>
      </c>
      <c r="C23" s="598" t="s">
        <v>2348</v>
      </c>
      <c r="D23" s="599">
        <v>2350</v>
      </c>
      <c r="E23" s="599" cm="1">
        <f t="array" ref="E23">IF(COUNTIF(TBL_PF_2A[Check?],"Add")&gt;0,"Missing info",ROUND((TBL_PF_2A[[Adjustment ]]*(TBL_PF_2B[[#This Row],[Rate]])+TBL_PF_2B[[#This Row],[Rate]]),2))</f>
        <v>2232.5</v>
      </c>
      <c r="F23" s="598"/>
      <c r="G23" s="600"/>
      <c r="I23" s="124"/>
    </row>
    <row r="24" spans="1:9">
      <c r="A24" s="594" t="s">
        <v>2317</v>
      </c>
      <c r="B24" s="606" t="s">
        <v>2312</v>
      </c>
      <c r="C24" s="598" t="s">
        <v>2690</v>
      </c>
      <c r="D24" s="599">
        <v>2425</v>
      </c>
      <c r="E24" s="599" cm="1">
        <f t="array" ref="E24">IF(COUNTIF(TBL_PF_2A[Check?],"Add")&gt;0,"Missing info",ROUND((TBL_PF_2A[[Adjustment ]]*(TBL_PF_2B[[#This Row],[Rate]])+TBL_PF_2B[[#This Row],[Rate]]),2))</f>
        <v>2303.75</v>
      </c>
      <c r="F24" s="598"/>
      <c r="G24" s="600"/>
      <c r="I24" s="124"/>
    </row>
    <row r="25" spans="1:9">
      <c r="A25" s="594" t="s">
        <v>2318</v>
      </c>
      <c r="B25" s="606" t="s">
        <v>2312</v>
      </c>
      <c r="C25" s="598" t="s">
        <v>2349</v>
      </c>
      <c r="D25" s="599">
        <v>1475</v>
      </c>
      <c r="E25" s="599" cm="1">
        <f t="array" ref="E25">IF(COUNTIF(TBL_PF_2A[Check?],"Add")&gt;0,"Missing info",ROUND((TBL_PF_2A[[Adjustment ]]*(TBL_PF_2B[[#This Row],[Rate]])+TBL_PF_2B[[#This Row],[Rate]]),2))</f>
        <v>1401.25</v>
      </c>
      <c r="F25" s="598"/>
      <c r="G25" s="600"/>
      <c r="I25" s="124"/>
    </row>
    <row r="26" spans="1:9">
      <c r="A26" s="594" t="s">
        <v>2319</v>
      </c>
      <c r="B26" s="606" t="s">
        <v>2312</v>
      </c>
      <c r="C26" s="598" t="s">
        <v>2350</v>
      </c>
      <c r="D26" s="599">
        <v>1850</v>
      </c>
      <c r="E26" s="599" cm="1">
        <f t="array" ref="E26">IF(COUNTIF(TBL_PF_2A[Check?],"Add")&gt;0,"Missing info",ROUND((TBL_PF_2A[[Adjustment ]]*(TBL_PF_2B[[#This Row],[Rate]])+TBL_PF_2B[[#This Row],[Rate]]),2))</f>
        <v>1757.5</v>
      </c>
      <c r="F26" s="598"/>
      <c r="G26" s="600"/>
      <c r="I26" s="124"/>
    </row>
    <row r="27" spans="1:9">
      <c r="A27" s="594" t="s">
        <v>2320</v>
      </c>
      <c r="B27" s="606" t="s">
        <v>2312</v>
      </c>
      <c r="C27" s="598" t="s">
        <v>2351</v>
      </c>
      <c r="D27" s="599">
        <v>900</v>
      </c>
      <c r="E27" s="599" cm="1">
        <f t="array" ref="E27">IF(COUNTIF(TBL_PF_2A[Check?],"Add")&gt;0,"Missing info",ROUND((TBL_PF_2A[[Adjustment ]]*(TBL_PF_2B[[#This Row],[Rate]])+TBL_PF_2B[[#This Row],[Rate]]),2))</f>
        <v>855</v>
      </c>
      <c r="F27" s="598"/>
      <c r="G27" s="600"/>
      <c r="I27" s="124"/>
    </row>
    <row r="28" spans="1:9">
      <c r="A28" s="594" t="s">
        <v>2321</v>
      </c>
      <c r="B28" s="606" t="s">
        <v>2312</v>
      </c>
      <c r="C28" s="598" t="s">
        <v>2691</v>
      </c>
      <c r="D28" s="599">
        <v>3225</v>
      </c>
      <c r="E28" s="599" cm="1">
        <f t="array" ref="E28">IF(COUNTIF(TBL_PF_2A[Check?],"Add")&gt;0,"Missing info",ROUND((TBL_PF_2A[[Adjustment ]]*(TBL_PF_2B[[#This Row],[Rate]])+TBL_PF_2B[[#This Row],[Rate]]),2))</f>
        <v>3063.75</v>
      </c>
      <c r="F28" s="598"/>
      <c r="G28" s="600"/>
      <c r="I28" s="124"/>
    </row>
    <row r="29" spans="1:9">
      <c r="A29" s="594" t="s">
        <v>2322</v>
      </c>
      <c r="B29" s="606" t="s">
        <v>2312</v>
      </c>
      <c r="C29" s="598" t="s">
        <v>2352</v>
      </c>
      <c r="D29" s="599">
        <v>2400</v>
      </c>
      <c r="E29" s="599" cm="1">
        <f t="array" ref="E29">IF(COUNTIF(TBL_PF_2A[Check?],"Add")&gt;0,"Missing info",ROUND((TBL_PF_2A[[Adjustment ]]*(TBL_PF_2B[[#This Row],[Rate]])+TBL_PF_2B[[#This Row],[Rate]]),2))</f>
        <v>2280</v>
      </c>
      <c r="F29" s="598"/>
      <c r="G29" s="600"/>
      <c r="I29" s="124"/>
    </row>
    <row r="30" spans="1:9">
      <c r="A30" s="594" t="s">
        <v>2323</v>
      </c>
      <c r="B30" s="606" t="s">
        <v>2312</v>
      </c>
      <c r="C30" s="598" t="s">
        <v>2353</v>
      </c>
      <c r="D30" s="599">
        <v>2700</v>
      </c>
      <c r="E30" s="599" cm="1">
        <f t="array" ref="E30">IF(COUNTIF(TBL_PF_2A[Check?],"Add")&gt;0,"Missing info",ROUND((TBL_PF_2A[[Adjustment ]]*(TBL_PF_2B[[#This Row],[Rate]])+TBL_PF_2B[[#This Row],[Rate]]),2))</f>
        <v>2565</v>
      </c>
      <c r="F30" s="598"/>
      <c r="G30" s="600"/>
      <c r="I30" s="124"/>
    </row>
    <row r="31" spans="1:9">
      <c r="A31" s="594" t="s">
        <v>2324</v>
      </c>
      <c r="B31" s="606" t="s">
        <v>2312</v>
      </c>
      <c r="C31" s="598" t="s">
        <v>2354</v>
      </c>
      <c r="D31" s="599">
        <v>1900</v>
      </c>
      <c r="E31" s="599" cm="1">
        <f t="array" ref="E31">IF(COUNTIF(TBL_PF_2A[Check?],"Add")&gt;0,"Missing info",ROUND((TBL_PF_2A[[Adjustment ]]*(TBL_PF_2B[[#This Row],[Rate]])+TBL_PF_2B[[#This Row],[Rate]]),2))</f>
        <v>1805</v>
      </c>
      <c r="F31" s="598"/>
      <c r="G31" s="600"/>
      <c r="I31" s="124"/>
    </row>
    <row r="32" spans="1:9">
      <c r="A32" s="594" t="s">
        <v>2325</v>
      </c>
      <c r="B32" s="606" t="s">
        <v>2312</v>
      </c>
      <c r="C32" s="598" t="s">
        <v>2692</v>
      </c>
      <c r="D32" s="599">
        <v>3650</v>
      </c>
      <c r="E32" s="599" cm="1">
        <f t="array" ref="E32">IF(COUNTIF(TBL_PF_2A[Check?],"Add")&gt;0,"Missing info",ROUND((TBL_PF_2A[[Adjustment ]]*(TBL_PF_2B[[#This Row],[Rate]])+TBL_PF_2B[[#This Row],[Rate]]),2))</f>
        <v>3467.5</v>
      </c>
      <c r="F32" s="598"/>
      <c r="G32" s="600"/>
      <c r="I32" s="124"/>
    </row>
    <row r="33" spans="1:9">
      <c r="A33" s="594" t="s">
        <v>2326</v>
      </c>
      <c r="B33" s="606" t="s">
        <v>2312</v>
      </c>
      <c r="C33" s="598" t="s">
        <v>2355</v>
      </c>
      <c r="D33" s="599">
        <v>3000</v>
      </c>
      <c r="E33" s="599" cm="1">
        <f t="array" ref="E33">IF(COUNTIF(TBL_PF_2A[Check?],"Add")&gt;0,"Missing info",ROUND((TBL_PF_2A[[Adjustment ]]*(TBL_PF_2B[[#This Row],[Rate]])+TBL_PF_2B[[#This Row],[Rate]]),2))</f>
        <v>2850</v>
      </c>
      <c r="F33" s="598"/>
      <c r="G33" s="600"/>
      <c r="I33" s="124"/>
    </row>
    <row r="34" spans="1:9">
      <c r="A34" s="594" t="s">
        <v>2327</v>
      </c>
      <c r="B34" s="606" t="s">
        <v>2312</v>
      </c>
      <c r="C34" s="598" t="s">
        <v>2356</v>
      </c>
      <c r="D34" s="599">
        <v>3200</v>
      </c>
      <c r="E34" s="599" cm="1">
        <f t="array" ref="E34">IF(COUNTIF(TBL_PF_2A[Check?],"Add")&gt;0,"Missing info",ROUND((TBL_PF_2A[[Adjustment ]]*(TBL_PF_2B[[#This Row],[Rate]])+TBL_PF_2B[[#This Row],[Rate]]),2))</f>
        <v>3040</v>
      </c>
      <c r="F34" s="598"/>
      <c r="G34" s="600"/>
      <c r="I34" s="124"/>
    </row>
    <row r="35" spans="1:9">
      <c r="A35" s="594" t="s">
        <v>2328</v>
      </c>
      <c r="B35" s="606" t="s">
        <v>2312</v>
      </c>
      <c r="C35" s="598" t="s">
        <v>2357</v>
      </c>
      <c r="D35" s="599">
        <v>2550</v>
      </c>
      <c r="E35" s="599" cm="1">
        <f t="array" ref="E35">IF(COUNTIF(TBL_PF_2A[Check?],"Add")&gt;0,"Missing info",ROUND((TBL_PF_2A[[Adjustment ]]*(TBL_PF_2B[[#This Row],[Rate]])+TBL_PF_2B[[#This Row],[Rate]]),2))</f>
        <v>2422.5</v>
      </c>
      <c r="F35" s="598"/>
      <c r="G35" s="600"/>
      <c r="I35" s="124"/>
    </row>
    <row r="36" spans="1:9">
      <c r="A36" s="594" t="s">
        <v>2329</v>
      </c>
      <c r="B36" s="606" t="s">
        <v>2312</v>
      </c>
      <c r="C36" s="598" t="s">
        <v>2693</v>
      </c>
      <c r="D36" s="599">
        <v>2500</v>
      </c>
      <c r="E36" s="599" cm="1">
        <f t="array" ref="E36">IF(COUNTIF(TBL_PF_2A[Check?],"Add")&gt;0,"Missing info",ROUND((TBL_PF_2A[[Adjustment ]]*(TBL_PF_2B[[#This Row],[Rate]])+TBL_PF_2B[[#This Row],[Rate]]),2))</f>
        <v>2375</v>
      </c>
      <c r="F36" s="598"/>
      <c r="G36" s="600"/>
      <c r="I36" s="124"/>
    </row>
    <row r="37" spans="1:9">
      <c r="A37" s="594" t="s">
        <v>2330</v>
      </c>
      <c r="B37" s="606" t="s">
        <v>2312</v>
      </c>
      <c r="C37" s="598" t="s">
        <v>2358</v>
      </c>
      <c r="D37" s="599">
        <v>1550</v>
      </c>
      <c r="E37" s="599" cm="1">
        <f t="array" ref="E37">IF(COUNTIF(TBL_PF_2A[Check?],"Add")&gt;0,"Missing info",ROUND((TBL_PF_2A[[Adjustment ]]*(TBL_PF_2B[[#This Row],[Rate]])+TBL_PF_2B[[#This Row],[Rate]]),2))</f>
        <v>1472.5</v>
      </c>
      <c r="F37" s="598"/>
      <c r="G37" s="600"/>
      <c r="I37" s="124"/>
    </row>
    <row r="38" spans="1:9">
      <c r="A38" s="594" t="s">
        <v>2331</v>
      </c>
      <c r="B38" s="606" t="s">
        <v>2312</v>
      </c>
      <c r="C38" s="598" t="s">
        <v>2359</v>
      </c>
      <c r="D38" s="599">
        <v>1950</v>
      </c>
      <c r="E38" s="599" cm="1">
        <f t="array" ref="E38">IF(COUNTIF(TBL_PF_2A[Check?],"Add")&gt;0,"Missing info",ROUND((TBL_PF_2A[[Adjustment ]]*(TBL_PF_2B[[#This Row],[Rate]])+TBL_PF_2B[[#This Row],[Rate]]),2))</f>
        <v>1852.5</v>
      </c>
      <c r="F38" s="598"/>
      <c r="G38" s="600"/>
      <c r="I38" s="124"/>
    </row>
    <row r="39" spans="1:9">
      <c r="A39" s="594" t="s">
        <v>2448</v>
      </c>
      <c r="B39" s="606" t="s">
        <v>2312</v>
      </c>
      <c r="C39" s="598" t="s">
        <v>2360</v>
      </c>
      <c r="D39" s="599">
        <v>1000</v>
      </c>
      <c r="E39" s="599" cm="1">
        <f t="array" ref="E39">IF(COUNTIF(TBL_PF_2A[Check?],"Add")&gt;0,"Missing info",ROUND((TBL_PF_2A[[Adjustment ]]*(TBL_PF_2B[[#This Row],[Rate]])+TBL_PF_2B[[#This Row],[Rate]]),2))</f>
        <v>950</v>
      </c>
      <c r="F39" s="598"/>
      <c r="G39" s="600"/>
      <c r="I39" s="124"/>
    </row>
    <row r="40" spans="1:9">
      <c r="A40" s="594" t="s">
        <v>2449</v>
      </c>
      <c r="B40" s="606" t="s">
        <v>2312</v>
      </c>
      <c r="C40" s="598" t="s">
        <v>2694</v>
      </c>
      <c r="D40" s="599">
        <v>3400</v>
      </c>
      <c r="E40" s="599" cm="1">
        <f t="array" ref="E40">IF(COUNTIF(TBL_PF_2A[Check?],"Add")&gt;0,"Missing info",ROUND((TBL_PF_2A[[Adjustment ]]*(TBL_PF_2B[[#This Row],[Rate]])+TBL_PF_2B[[#This Row],[Rate]]),2))</f>
        <v>3230</v>
      </c>
      <c r="F40" s="598"/>
      <c r="G40" s="600"/>
      <c r="I40" s="124"/>
    </row>
    <row r="41" spans="1:9">
      <c r="A41" s="594" t="s">
        <v>2450</v>
      </c>
      <c r="B41" s="606" t="s">
        <v>2312</v>
      </c>
      <c r="C41" s="598" t="s">
        <v>2361</v>
      </c>
      <c r="D41" s="599">
        <v>2600</v>
      </c>
      <c r="E41" s="599" cm="1">
        <f t="array" ref="E41">IF(COUNTIF(TBL_PF_2A[Check?],"Add")&gt;0,"Missing info",ROUND((TBL_PF_2A[[Adjustment ]]*(TBL_PF_2B[[#This Row],[Rate]])+TBL_PF_2B[[#This Row],[Rate]]),2))</f>
        <v>2470</v>
      </c>
      <c r="F41" s="598"/>
      <c r="G41" s="600"/>
      <c r="I41" s="124"/>
    </row>
    <row r="42" spans="1:9">
      <c r="A42" s="594" t="s">
        <v>2451</v>
      </c>
      <c r="B42" s="606" t="s">
        <v>2312</v>
      </c>
      <c r="C42" s="598" t="s">
        <v>2362</v>
      </c>
      <c r="D42" s="599">
        <v>2900</v>
      </c>
      <c r="E42" s="599" cm="1">
        <f t="array" ref="E42">IF(COUNTIF(TBL_PF_2A[Check?],"Add")&gt;0,"Missing info",ROUND((TBL_PF_2A[[Adjustment ]]*(TBL_PF_2B[[#This Row],[Rate]])+TBL_PF_2B[[#This Row],[Rate]]),2))</f>
        <v>2755</v>
      </c>
      <c r="F42" s="598"/>
      <c r="G42" s="600"/>
      <c r="I42" s="124"/>
    </row>
    <row r="43" spans="1:9">
      <c r="A43" s="594" t="s">
        <v>2452</v>
      </c>
      <c r="B43" s="606" t="s">
        <v>2312</v>
      </c>
      <c r="C43" s="598" t="s">
        <v>2363</v>
      </c>
      <c r="D43" s="599">
        <v>2100</v>
      </c>
      <c r="E43" s="599" cm="1">
        <f t="array" ref="E43">IF(COUNTIF(TBL_PF_2A[Check?],"Add")&gt;0,"Missing info",ROUND((TBL_PF_2A[[Adjustment ]]*(TBL_PF_2B[[#This Row],[Rate]])+TBL_PF_2B[[#This Row],[Rate]]),2))</f>
        <v>1995</v>
      </c>
      <c r="F43" s="598"/>
      <c r="G43" s="600"/>
      <c r="I43" s="124"/>
    </row>
    <row r="44" spans="1:9">
      <c r="A44" s="594" t="s">
        <v>2453</v>
      </c>
      <c r="B44" s="606" t="s">
        <v>2312</v>
      </c>
      <c r="C44" s="598" t="s">
        <v>2695</v>
      </c>
      <c r="D44" s="599">
        <v>4000</v>
      </c>
      <c r="E44" s="599" cm="1">
        <f t="array" ref="E44">IF(COUNTIF(TBL_PF_2A[Check?],"Add")&gt;0,"Missing info",ROUND((TBL_PF_2A[[Adjustment ]]*(TBL_PF_2B[[#This Row],[Rate]])+TBL_PF_2B[[#This Row],[Rate]]),2))</f>
        <v>3800</v>
      </c>
      <c r="F44" s="598"/>
      <c r="G44" s="600"/>
      <c r="I44" s="124"/>
    </row>
    <row r="45" spans="1:9">
      <c r="A45" s="594" t="s">
        <v>2454</v>
      </c>
      <c r="B45" s="606" t="s">
        <v>2312</v>
      </c>
      <c r="C45" s="598" t="s">
        <v>2364</v>
      </c>
      <c r="D45" s="599">
        <v>3300</v>
      </c>
      <c r="E45" s="599" cm="1">
        <f t="array" ref="E45">IF(COUNTIF(TBL_PF_2A[Check?],"Add")&gt;0,"Missing info",ROUND((TBL_PF_2A[[Adjustment ]]*(TBL_PF_2B[[#This Row],[Rate]])+TBL_PF_2B[[#This Row],[Rate]]),2))</f>
        <v>3135</v>
      </c>
      <c r="F45" s="598"/>
      <c r="G45" s="600"/>
      <c r="I45" s="124"/>
    </row>
    <row r="46" spans="1:9">
      <c r="A46" s="594" t="s">
        <v>2455</v>
      </c>
      <c r="B46" s="606" t="s">
        <v>2312</v>
      </c>
      <c r="C46" s="598" t="s">
        <v>2365</v>
      </c>
      <c r="D46" s="599">
        <v>3550</v>
      </c>
      <c r="E46" s="599" cm="1">
        <f t="array" ref="E46">IF(COUNTIF(TBL_PF_2A[Check?],"Add")&gt;0,"Missing info",ROUND((TBL_PF_2A[[Adjustment ]]*(TBL_PF_2B[[#This Row],[Rate]])+TBL_PF_2B[[#This Row],[Rate]]),2))</f>
        <v>3372.5</v>
      </c>
      <c r="F46" s="598"/>
      <c r="G46" s="600"/>
      <c r="I46" s="124"/>
    </row>
    <row r="47" spans="1:9">
      <c r="A47" s="594" t="s">
        <v>2456</v>
      </c>
      <c r="B47" s="606" t="s">
        <v>2312</v>
      </c>
      <c r="C47" s="598" t="s">
        <v>2366</v>
      </c>
      <c r="D47" s="599">
        <v>2900</v>
      </c>
      <c r="E47" s="599" cm="1">
        <f t="array" ref="E47">IF(COUNTIF(TBL_PF_2A[Check?],"Add")&gt;0,"Missing info",ROUND((TBL_PF_2A[[Adjustment ]]*(TBL_PF_2B[[#This Row],[Rate]])+TBL_PF_2B[[#This Row],[Rate]]),2))</f>
        <v>2755</v>
      </c>
      <c r="F47" s="598"/>
      <c r="G47" s="600"/>
      <c r="I47" s="124"/>
    </row>
    <row r="48" spans="1:9">
      <c r="A48" s="594" t="s">
        <v>2457</v>
      </c>
      <c r="B48" s="606" t="s">
        <v>2312</v>
      </c>
      <c r="C48" s="598" t="s">
        <v>2696</v>
      </c>
      <c r="D48" s="599">
        <v>2675</v>
      </c>
      <c r="E48" s="599" cm="1">
        <f t="array" ref="E48">IF(COUNTIF(TBL_PF_2A[Check?],"Add")&gt;0,"Missing info",ROUND((TBL_PF_2A[[Adjustment ]]*(TBL_PF_2B[[#This Row],[Rate]])+TBL_PF_2B[[#This Row],[Rate]]),2))</f>
        <v>2541.25</v>
      </c>
      <c r="F48" s="598"/>
      <c r="G48" s="600"/>
      <c r="I48" s="124"/>
    </row>
    <row r="49" spans="1:9">
      <c r="A49" s="594" t="s">
        <v>2458</v>
      </c>
      <c r="B49" s="606" t="s">
        <v>2312</v>
      </c>
      <c r="C49" s="598" t="s">
        <v>2367</v>
      </c>
      <c r="D49" s="599">
        <v>1700</v>
      </c>
      <c r="E49" s="599" cm="1">
        <f t="array" ref="E49">IF(COUNTIF(TBL_PF_2A[Check?],"Add")&gt;0,"Missing info",ROUND((TBL_PF_2A[[Adjustment ]]*(TBL_PF_2B[[#This Row],[Rate]])+TBL_PF_2B[[#This Row],[Rate]]),2))</f>
        <v>1615</v>
      </c>
      <c r="F49" s="598"/>
      <c r="G49" s="600"/>
      <c r="I49" s="124"/>
    </row>
    <row r="50" spans="1:9">
      <c r="A50" s="594" t="s">
        <v>2459</v>
      </c>
      <c r="B50" s="606" t="s">
        <v>2312</v>
      </c>
      <c r="C50" s="598" t="s">
        <v>2368</v>
      </c>
      <c r="D50" s="599">
        <v>2100</v>
      </c>
      <c r="E50" s="599" cm="1">
        <f t="array" ref="E50">IF(COUNTIF(TBL_PF_2A[Check?],"Add")&gt;0,"Missing info",ROUND((TBL_PF_2A[[Adjustment ]]*(TBL_PF_2B[[#This Row],[Rate]])+TBL_PF_2B[[#This Row],[Rate]]),2))</f>
        <v>1995</v>
      </c>
      <c r="F50" s="598"/>
      <c r="G50" s="600"/>
      <c r="I50" s="124"/>
    </row>
    <row r="51" spans="1:9">
      <c r="A51" s="594" t="s">
        <v>2460</v>
      </c>
      <c r="B51" s="606" t="s">
        <v>2312</v>
      </c>
      <c r="C51" s="598" t="s">
        <v>2369</v>
      </c>
      <c r="D51" s="599">
        <v>1150</v>
      </c>
      <c r="E51" s="599" cm="1">
        <f t="array" ref="E51">IF(COUNTIF(TBL_PF_2A[Check?],"Add")&gt;0,"Missing info",ROUND((TBL_PF_2A[[Adjustment ]]*(TBL_PF_2B[[#This Row],[Rate]])+TBL_PF_2B[[#This Row],[Rate]]),2))</f>
        <v>1092.5</v>
      </c>
      <c r="F51" s="598"/>
      <c r="G51" s="600"/>
      <c r="I51" s="124"/>
    </row>
    <row r="52" spans="1:9">
      <c r="A52" s="594" t="s">
        <v>2461</v>
      </c>
      <c r="B52" s="606" t="s">
        <v>2312</v>
      </c>
      <c r="C52" s="598" t="s">
        <v>2697</v>
      </c>
      <c r="D52" s="599">
        <v>3825</v>
      </c>
      <c r="E52" s="599" cm="1">
        <f t="array" ref="E52">IF(COUNTIF(TBL_PF_2A[Check?],"Add")&gt;0,"Missing info",ROUND((TBL_PF_2A[[Adjustment ]]*(TBL_PF_2B[[#This Row],[Rate]])+TBL_PF_2B[[#This Row],[Rate]]),2))</f>
        <v>3633.75</v>
      </c>
      <c r="F52" s="598"/>
      <c r="G52" s="600"/>
      <c r="I52" s="124"/>
    </row>
    <row r="53" spans="1:9">
      <c r="A53" s="594" t="s">
        <v>2462</v>
      </c>
      <c r="B53" s="606" t="s">
        <v>2312</v>
      </c>
      <c r="C53" s="598" t="s">
        <v>2370</v>
      </c>
      <c r="D53" s="599">
        <v>3000</v>
      </c>
      <c r="E53" s="599" cm="1">
        <f t="array" ref="E53">IF(COUNTIF(TBL_PF_2A[Check?],"Add")&gt;0,"Missing info",ROUND((TBL_PF_2A[[Adjustment ]]*(TBL_PF_2B[[#This Row],[Rate]])+TBL_PF_2B[[#This Row],[Rate]]),2))</f>
        <v>2850</v>
      </c>
      <c r="F53" s="598"/>
      <c r="G53" s="600"/>
      <c r="I53" s="124"/>
    </row>
    <row r="54" spans="1:9">
      <c r="A54" s="594" t="s">
        <v>2463</v>
      </c>
      <c r="B54" s="606" t="s">
        <v>2312</v>
      </c>
      <c r="C54" s="598" t="s">
        <v>2371</v>
      </c>
      <c r="D54" s="599">
        <v>3325</v>
      </c>
      <c r="E54" s="599" cm="1">
        <f t="array" ref="E54">IF(COUNTIF(TBL_PF_2A[Check?],"Add")&gt;0,"Missing info",ROUND((TBL_PF_2A[[Adjustment ]]*(TBL_PF_2B[[#This Row],[Rate]])+TBL_PF_2B[[#This Row],[Rate]]),2))</f>
        <v>3158.75</v>
      </c>
      <c r="F54" s="598"/>
      <c r="G54" s="600"/>
      <c r="I54" s="124"/>
    </row>
    <row r="55" spans="1:9">
      <c r="A55" s="594" t="s">
        <v>2464</v>
      </c>
      <c r="B55" s="606" t="s">
        <v>2312</v>
      </c>
      <c r="C55" s="598" t="s">
        <v>2372</v>
      </c>
      <c r="D55" s="599">
        <v>2500</v>
      </c>
      <c r="E55" s="599" cm="1">
        <f t="array" ref="E55">IF(COUNTIF(TBL_PF_2A[Check?],"Add")&gt;0,"Missing info",ROUND((TBL_PF_2A[[Adjustment ]]*(TBL_PF_2B[[#This Row],[Rate]])+TBL_PF_2B[[#This Row],[Rate]]),2))</f>
        <v>2375</v>
      </c>
      <c r="F55" s="598"/>
      <c r="G55" s="600"/>
      <c r="I55" s="124"/>
    </row>
    <row r="56" spans="1:9">
      <c r="A56" s="594" t="s">
        <v>2465</v>
      </c>
      <c r="B56" s="606" t="s">
        <v>2312</v>
      </c>
      <c r="C56" s="598" t="s">
        <v>2698</v>
      </c>
      <c r="D56" s="599">
        <v>4550</v>
      </c>
      <c r="E56" s="599" cm="1">
        <f t="array" ref="E56">IF(COUNTIF(TBL_PF_2A[Check?],"Add")&gt;0,"Missing info",ROUND((TBL_PF_2A[[Adjustment ]]*(TBL_PF_2B[[#This Row],[Rate]])+TBL_PF_2B[[#This Row],[Rate]]),2))</f>
        <v>4322.5</v>
      </c>
      <c r="F56" s="598"/>
      <c r="G56" s="600"/>
      <c r="I56" s="124"/>
    </row>
    <row r="57" spans="1:9">
      <c r="A57" s="594" t="s">
        <v>2466</v>
      </c>
      <c r="B57" s="606" t="s">
        <v>2312</v>
      </c>
      <c r="C57" s="598" t="s">
        <v>2373</v>
      </c>
      <c r="D57" s="599">
        <v>3850</v>
      </c>
      <c r="E57" s="599" cm="1">
        <f t="array" ref="E57">IF(COUNTIF(TBL_PF_2A[Check?],"Add")&gt;0,"Missing info",ROUND((TBL_PF_2A[[Adjustment ]]*(TBL_PF_2B[[#This Row],[Rate]])+TBL_PF_2B[[#This Row],[Rate]]),2))</f>
        <v>3657.5</v>
      </c>
      <c r="F57" s="598"/>
      <c r="G57" s="600"/>
      <c r="I57" s="124"/>
    </row>
    <row r="58" spans="1:9">
      <c r="A58" s="594" t="s">
        <v>2467</v>
      </c>
      <c r="B58" s="606" t="s">
        <v>2312</v>
      </c>
      <c r="C58" s="598" t="s">
        <v>2374</v>
      </c>
      <c r="D58" s="599">
        <v>4100</v>
      </c>
      <c r="E58" s="599" cm="1">
        <f t="array" ref="E58">IF(COUNTIF(TBL_PF_2A[Check?],"Add")&gt;0,"Missing info",ROUND((TBL_PF_2A[[Adjustment ]]*(TBL_PF_2B[[#This Row],[Rate]])+TBL_PF_2B[[#This Row],[Rate]]),2))</f>
        <v>3895</v>
      </c>
      <c r="F58" s="598"/>
      <c r="G58" s="600"/>
      <c r="I58" s="124"/>
    </row>
    <row r="59" spans="1:9">
      <c r="A59" s="594" t="s">
        <v>2468</v>
      </c>
      <c r="B59" s="606" t="s">
        <v>2312</v>
      </c>
      <c r="C59" s="598" t="s">
        <v>2375</v>
      </c>
      <c r="D59" s="599">
        <v>3450</v>
      </c>
      <c r="E59" s="599" cm="1">
        <f t="array" ref="E59">IF(COUNTIF(TBL_PF_2A[Check?],"Add")&gt;0,"Missing info",ROUND((TBL_PF_2A[[Adjustment ]]*(TBL_PF_2B[[#This Row],[Rate]])+TBL_PF_2B[[#This Row],[Rate]]),2))</f>
        <v>3277.5</v>
      </c>
      <c r="F59" s="598"/>
      <c r="G59" s="600"/>
      <c r="I59" s="124"/>
    </row>
    <row r="60" spans="1:9">
      <c r="A60" s="594" t="s">
        <v>2469</v>
      </c>
      <c r="B60" s="606" t="s">
        <v>2312</v>
      </c>
      <c r="C60" s="598" t="s">
        <v>2699</v>
      </c>
      <c r="D60" s="599">
        <v>2750</v>
      </c>
      <c r="E60" s="599" cm="1">
        <f t="array" ref="E60">IF(COUNTIF(TBL_PF_2A[Check?],"Add")&gt;0,"Missing info",ROUND((TBL_PF_2A[[Adjustment ]]*(TBL_PF_2B[[#This Row],[Rate]])+TBL_PF_2B[[#This Row],[Rate]]),2))</f>
        <v>2612.5</v>
      </c>
      <c r="F60" s="598"/>
      <c r="G60" s="600"/>
      <c r="I60" s="124"/>
    </row>
    <row r="61" spans="1:9">
      <c r="A61" s="594" t="s">
        <v>2470</v>
      </c>
      <c r="B61" s="606" t="s">
        <v>2312</v>
      </c>
      <c r="C61" s="598" t="s">
        <v>2376</v>
      </c>
      <c r="D61" s="599">
        <v>1800</v>
      </c>
      <c r="E61" s="599" cm="1">
        <f t="array" ref="E61">IF(COUNTIF(TBL_PF_2A[Check?],"Add")&gt;0,"Missing info",ROUND((TBL_PF_2A[[Adjustment ]]*(TBL_PF_2B[[#This Row],[Rate]])+TBL_PF_2B[[#This Row],[Rate]]),2))</f>
        <v>1710</v>
      </c>
      <c r="F61" s="598"/>
      <c r="G61" s="600"/>
      <c r="I61" s="124"/>
    </row>
    <row r="62" spans="1:9">
      <c r="A62" s="594" t="s">
        <v>2471</v>
      </c>
      <c r="B62" s="606" t="s">
        <v>2312</v>
      </c>
      <c r="C62" s="598" t="s">
        <v>2377</v>
      </c>
      <c r="D62" s="599">
        <v>2200</v>
      </c>
      <c r="E62" s="599" cm="1">
        <f t="array" ref="E62">IF(COUNTIF(TBL_PF_2A[Check?],"Add")&gt;0,"Missing info",ROUND((TBL_PF_2A[[Adjustment ]]*(TBL_PF_2B[[#This Row],[Rate]])+TBL_PF_2B[[#This Row],[Rate]]),2))</f>
        <v>2090</v>
      </c>
      <c r="F62" s="598"/>
      <c r="G62" s="600"/>
      <c r="I62" s="124"/>
    </row>
    <row r="63" spans="1:9">
      <c r="A63" s="594" t="s">
        <v>2472</v>
      </c>
      <c r="B63" s="606" t="s">
        <v>2312</v>
      </c>
      <c r="C63" s="598" t="s">
        <v>2378</v>
      </c>
      <c r="D63" s="599">
        <v>1225</v>
      </c>
      <c r="E63" s="599" cm="1">
        <f t="array" ref="E63">IF(COUNTIF(TBL_PF_2A[Check?],"Add")&gt;0,"Missing info",ROUND((TBL_PF_2A[[Adjustment ]]*(TBL_PF_2B[[#This Row],[Rate]])+TBL_PF_2B[[#This Row],[Rate]]),2))</f>
        <v>1163.75</v>
      </c>
      <c r="F63" s="598"/>
      <c r="G63" s="600"/>
      <c r="I63" s="124"/>
    </row>
    <row r="64" spans="1:9">
      <c r="A64" s="594" t="s">
        <v>2473</v>
      </c>
      <c r="B64" s="606" t="s">
        <v>2312</v>
      </c>
      <c r="C64" s="598" t="s">
        <v>2700</v>
      </c>
      <c r="D64" s="599">
        <v>4050</v>
      </c>
      <c r="E64" s="599" cm="1">
        <f t="array" ref="E64">IF(COUNTIF(TBL_PF_2A[Check?],"Add")&gt;0,"Missing info",ROUND((TBL_PF_2A[[Adjustment ]]*(TBL_PF_2B[[#This Row],[Rate]])+TBL_PF_2B[[#This Row],[Rate]]),2))</f>
        <v>3847.5</v>
      </c>
      <c r="F64" s="598"/>
      <c r="G64" s="600"/>
      <c r="I64" s="124"/>
    </row>
    <row r="65" spans="1:9">
      <c r="A65" s="594" t="s">
        <v>2474</v>
      </c>
      <c r="B65" s="606" t="s">
        <v>2312</v>
      </c>
      <c r="C65" s="598" t="s">
        <v>2379</v>
      </c>
      <c r="D65" s="599">
        <v>3225</v>
      </c>
      <c r="E65" s="599" cm="1">
        <f t="array" ref="E65">IF(COUNTIF(TBL_PF_2A[Check?],"Add")&gt;0,"Missing info",ROUND((TBL_PF_2A[[Adjustment ]]*(TBL_PF_2B[[#This Row],[Rate]])+TBL_PF_2B[[#This Row],[Rate]]),2))</f>
        <v>3063.75</v>
      </c>
      <c r="F65" s="598"/>
      <c r="G65" s="600"/>
      <c r="I65" s="124"/>
    </row>
    <row r="66" spans="1:9">
      <c r="A66" s="594" t="s">
        <v>2475</v>
      </c>
      <c r="B66" s="606" t="s">
        <v>2312</v>
      </c>
      <c r="C66" s="598" t="s">
        <v>2380</v>
      </c>
      <c r="D66" s="599">
        <v>3550</v>
      </c>
      <c r="E66" s="599" cm="1">
        <f t="array" ref="E66">IF(COUNTIF(TBL_PF_2A[Check?],"Add")&gt;0,"Missing info",ROUND((TBL_PF_2A[[Adjustment ]]*(TBL_PF_2B[[#This Row],[Rate]])+TBL_PF_2B[[#This Row],[Rate]]),2))</f>
        <v>3372.5</v>
      </c>
      <c r="F66" s="598"/>
      <c r="G66" s="600"/>
      <c r="I66" s="124"/>
    </row>
    <row r="67" spans="1:9">
      <c r="A67" s="594" t="s">
        <v>2476</v>
      </c>
      <c r="B67" s="606" t="s">
        <v>2312</v>
      </c>
      <c r="C67" s="598" t="s">
        <v>2381</v>
      </c>
      <c r="D67" s="599">
        <v>2725</v>
      </c>
      <c r="E67" s="599" cm="1">
        <f t="array" ref="E67">IF(COUNTIF(TBL_PF_2A[Check?],"Add")&gt;0,"Missing info",ROUND((TBL_PF_2A[[Adjustment ]]*(TBL_PF_2B[[#This Row],[Rate]])+TBL_PF_2B[[#This Row],[Rate]]),2))</f>
        <v>2588.75</v>
      </c>
      <c r="F67" s="598"/>
      <c r="G67" s="600"/>
      <c r="I67" s="124"/>
    </row>
    <row r="68" spans="1:9">
      <c r="A68" s="594" t="s">
        <v>2477</v>
      </c>
      <c r="B68" s="606" t="s">
        <v>2312</v>
      </c>
      <c r="C68" s="598" t="s">
        <v>2701</v>
      </c>
      <c r="D68" s="599">
        <v>5000</v>
      </c>
      <c r="E68" s="599" cm="1">
        <f t="array" ref="E68">IF(COUNTIF(TBL_PF_2A[Check?],"Add")&gt;0,"Missing info",ROUND((TBL_PF_2A[[Adjustment ]]*(TBL_PF_2B[[#This Row],[Rate]])+TBL_PF_2B[[#This Row],[Rate]]),2))</f>
        <v>4750</v>
      </c>
      <c r="F68" s="598"/>
      <c r="G68" s="600"/>
      <c r="I68" s="124"/>
    </row>
    <row r="69" spans="1:9">
      <c r="A69" s="594" t="s">
        <v>2478</v>
      </c>
      <c r="B69" s="606" t="s">
        <v>2312</v>
      </c>
      <c r="C69" s="598" t="s">
        <v>2382</v>
      </c>
      <c r="D69" s="599">
        <v>4325</v>
      </c>
      <c r="E69" s="599" cm="1">
        <f t="array" ref="E69">IF(COUNTIF(TBL_PF_2A[Check?],"Add")&gt;0,"Missing info",ROUND((TBL_PF_2A[[Adjustment ]]*(TBL_PF_2B[[#This Row],[Rate]])+TBL_PF_2B[[#This Row],[Rate]]),2))</f>
        <v>4108.75</v>
      </c>
      <c r="F69" s="598"/>
      <c r="G69" s="600"/>
      <c r="I69" s="124"/>
    </row>
    <row r="70" spans="1:9">
      <c r="A70" s="594" t="s">
        <v>2479</v>
      </c>
      <c r="B70" s="606" t="s">
        <v>2312</v>
      </c>
      <c r="C70" s="598" t="s">
        <v>2383</v>
      </c>
      <c r="D70" s="599">
        <v>4550</v>
      </c>
      <c r="E70" s="599" cm="1">
        <f t="array" ref="E70">IF(COUNTIF(TBL_PF_2A[Check?],"Add")&gt;0,"Missing info",ROUND((TBL_PF_2A[[Adjustment ]]*(TBL_PF_2B[[#This Row],[Rate]])+TBL_PF_2B[[#This Row],[Rate]]),2))</f>
        <v>4322.5</v>
      </c>
      <c r="F70" s="598"/>
      <c r="G70" s="600"/>
      <c r="I70" s="124"/>
    </row>
    <row r="71" spans="1:9">
      <c r="A71" s="594" t="s">
        <v>2480</v>
      </c>
      <c r="B71" s="606" t="s">
        <v>2312</v>
      </c>
      <c r="C71" s="598" t="s">
        <v>2384</v>
      </c>
      <c r="D71" s="599">
        <v>3900</v>
      </c>
      <c r="E71" s="599" cm="1">
        <f t="array" ref="E71">IF(COUNTIF(TBL_PF_2A[Check?],"Add")&gt;0,"Missing info",ROUND((TBL_PF_2A[[Adjustment ]]*(TBL_PF_2B[[#This Row],[Rate]])+TBL_PF_2B[[#This Row],[Rate]]),2))</f>
        <v>3705</v>
      </c>
      <c r="F71" s="598"/>
      <c r="G71" s="600"/>
      <c r="I71" s="124"/>
    </row>
    <row r="72" spans="1:9">
      <c r="A72" s="594" t="s">
        <v>2481</v>
      </c>
      <c r="B72" s="606" t="s">
        <v>2312</v>
      </c>
      <c r="C72" s="598" t="s">
        <v>2702</v>
      </c>
      <c r="D72" s="599">
        <v>2900</v>
      </c>
      <c r="E72" s="599" cm="1">
        <f t="array" ref="E72">IF(COUNTIF(TBL_PF_2A[Check?],"Add")&gt;0,"Missing info",ROUND((TBL_PF_2A[[Adjustment ]]*(TBL_PF_2B[[#This Row],[Rate]])+TBL_PF_2B[[#This Row],[Rate]]),2))</f>
        <v>2755</v>
      </c>
      <c r="F72" s="598"/>
      <c r="G72" s="600"/>
      <c r="I72" s="124"/>
    </row>
    <row r="73" spans="1:9">
      <c r="A73" s="594" t="s">
        <v>2482</v>
      </c>
      <c r="B73" s="606" t="s">
        <v>2312</v>
      </c>
      <c r="C73" s="598" t="s">
        <v>2385</v>
      </c>
      <c r="D73" s="599">
        <v>1950</v>
      </c>
      <c r="E73" s="599" cm="1">
        <f t="array" ref="E73">IF(COUNTIF(TBL_PF_2A[Check?],"Add")&gt;0,"Missing info",ROUND((TBL_PF_2A[[Adjustment ]]*(TBL_PF_2B[[#This Row],[Rate]])+TBL_PF_2B[[#This Row],[Rate]]),2))</f>
        <v>1852.5</v>
      </c>
      <c r="F73" s="598"/>
      <c r="G73" s="600"/>
      <c r="I73" s="124"/>
    </row>
    <row r="74" spans="1:9">
      <c r="A74" s="594" t="s">
        <v>2483</v>
      </c>
      <c r="B74" s="606" t="s">
        <v>2312</v>
      </c>
      <c r="C74" s="598" t="s">
        <v>2386</v>
      </c>
      <c r="D74" s="599">
        <v>2325</v>
      </c>
      <c r="E74" s="599" cm="1">
        <f t="array" ref="E74">IF(COUNTIF(TBL_PF_2A[Check?],"Add")&gt;0,"Missing info",ROUND((TBL_PF_2A[[Adjustment ]]*(TBL_PF_2B[[#This Row],[Rate]])+TBL_PF_2B[[#This Row],[Rate]]),2))</f>
        <v>2208.75</v>
      </c>
      <c r="F74" s="598"/>
      <c r="G74" s="600"/>
      <c r="I74" s="124"/>
    </row>
    <row r="75" spans="1:9">
      <c r="A75" s="594" t="s">
        <v>2484</v>
      </c>
      <c r="B75" s="606" t="s">
        <v>2312</v>
      </c>
      <c r="C75" s="598" t="s">
        <v>2387</v>
      </c>
      <c r="D75" s="599">
        <v>1375</v>
      </c>
      <c r="E75" s="599" cm="1">
        <f t="array" ref="E75">IF(COUNTIF(TBL_PF_2A[Check?],"Add")&gt;0,"Missing info",ROUND((TBL_PF_2A[[Adjustment ]]*(TBL_PF_2B[[#This Row],[Rate]])+TBL_PF_2B[[#This Row],[Rate]]),2))</f>
        <v>1306.25</v>
      </c>
      <c r="F75" s="598"/>
      <c r="G75" s="600"/>
      <c r="I75" s="124"/>
    </row>
    <row r="76" spans="1:9">
      <c r="A76" s="594" t="s">
        <v>2485</v>
      </c>
      <c r="B76" s="606" t="s">
        <v>2312</v>
      </c>
      <c r="C76" s="598" t="s">
        <v>2703</v>
      </c>
      <c r="D76" s="599">
        <v>3875</v>
      </c>
      <c r="E76" s="599" cm="1">
        <f t="array" ref="E76">IF(COUNTIF(TBL_PF_2A[Check?],"Add")&gt;0,"Missing info",ROUND((TBL_PF_2A[[Adjustment ]]*(TBL_PF_2B[[#This Row],[Rate]])+TBL_PF_2B[[#This Row],[Rate]]),2))</f>
        <v>3681.25</v>
      </c>
      <c r="F76" s="598"/>
      <c r="G76" s="600"/>
      <c r="I76" s="124"/>
    </row>
    <row r="77" spans="1:9">
      <c r="A77" s="594" t="s">
        <v>2486</v>
      </c>
      <c r="B77" s="606" t="s">
        <v>2312</v>
      </c>
      <c r="C77" s="598" t="s">
        <v>2388</v>
      </c>
      <c r="D77" s="599">
        <v>3050</v>
      </c>
      <c r="E77" s="599" cm="1">
        <f t="array" ref="E77">IF(COUNTIF(TBL_PF_2A[Check?],"Add")&gt;0,"Missing info",ROUND((TBL_PF_2A[[Adjustment ]]*(TBL_PF_2B[[#This Row],[Rate]])+TBL_PF_2B[[#This Row],[Rate]]),2))</f>
        <v>2897.5</v>
      </c>
      <c r="F77" s="598"/>
      <c r="G77" s="600"/>
      <c r="I77" s="124"/>
    </row>
    <row r="78" spans="1:9">
      <c r="A78" s="594" t="s">
        <v>2487</v>
      </c>
      <c r="B78" s="606" t="s">
        <v>2312</v>
      </c>
      <c r="C78" s="598" t="s">
        <v>2389</v>
      </c>
      <c r="D78" s="599">
        <v>3375</v>
      </c>
      <c r="E78" s="599" cm="1">
        <f t="array" ref="E78">IF(COUNTIF(TBL_PF_2A[Check?],"Add")&gt;0,"Missing info",ROUND((TBL_PF_2A[[Adjustment ]]*(TBL_PF_2B[[#This Row],[Rate]])+TBL_PF_2B[[#This Row],[Rate]]),2))</f>
        <v>3206.25</v>
      </c>
      <c r="F78" s="598"/>
      <c r="G78" s="600"/>
      <c r="I78" s="124"/>
    </row>
    <row r="79" spans="1:9">
      <c r="A79" s="594" t="s">
        <v>2488</v>
      </c>
      <c r="B79" s="606" t="s">
        <v>2312</v>
      </c>
      <c r="C79" s="598" t="s">
        <v>2390</v>
      </c>
      <c r="D79" s="599">
        <v>2550</v>
      </c>
      <c r="E79" s="599" cm="1">
        <f t="array" ref="E79">IF(COUNTIF(TBL_PF_2A[Check?],"Add")&gt;0,"Missing info",ROUND((TBL_PF_2A[[Adjustment ]]*(TBL_PF_2B[[#This Row],[Rate]])+TBL_PF_2B[[#This Row],[Rate]]),2))</f>
        <v>2422.5</v>
      </c>
      <c r="F79" s="598"/>
      <c r="G79" s="600"/>
      <c r="I79" s="124"/>
    </row>
    <row r="80" spans="1:9">
      <c r="A80" s="594" t="s">
        <v>2489</v>
      </c>
      <c r="B80" s="606" t="s">
        <v>2312</v>
      </c>
      <c r="C80" s="598" t="s">
        <v>2704</v>
      </c>
      <c r="D80" s="599">
        <v>4425</v>
      </c>
      <c r="E80" s="599" cm="1">
        <f t="array" ref="E80">IF(COUNTIF(TBL_PF_2A[Check?],"Add")&gt;0,"Missing info",ROUND((TBL_PF_2A[[Adjustment ]]*(TBL_PF_2B[[#This Row],[Rate]])+TBL_PF_2B[[#This Row],[Rate]]),2))</f>
        <v>4203.75</v>
      </c>
      <c r="F80" s="598"/>
      <c r="G80" s="600"/>
      <c r="I80" s="124"/>
    </row>
    <row r="81" spans="1:9">
      <c r="A81" s="594" t="s">
        <v>2490</v>
      </c>
      <c r="B81" s="606" t="s">
        <v>2312</v>
      </c>
      <c r="C81" s="598" t="s">
        <v>2391</v>
      </c>
      <c r="D81" s="599">
        <v>2750</v>
      </c>
      <c r="E81" s="599" cm="1">
        <f t="array" ref="E81">IF(COUNTIF(TBL_PF_2A[Check?],"Add")&gt;0,"Missing info",ROUND((TBL_PF_2A[[Adjustment ]]*(TBL_PF_2B[[#This Row],[Rate]])+TBL_PF_2B[[#This Row],[Rate]]),2))</f>
        <v>2612.5</v>
      </c>
      <c r="F81" s="598"/>
      <c r="G81" s="600"/>
      <c r="I81" s="124"/>
    </row>
    <row r="82" spans="1:9">
      <c r="A82" s="594" t="s">
        <v>2491</v>
      </c>
      <c r="B82" s="606" t="s">
        <v>2312</v>
      </c>
      <c r="C82" s="598" t="s">
        <v>2392</v>
      </c>
      <c r="D82" s="599">
        <v>4000</v>
      </c>
      <c r="E82" s="599" cm="1">
        <f t="array" ref="E82">IF(COUNTIF(TBL_PF_2A[Check?],"Add")&gt;0,"Missing info",ROUND((TBL_PF_2A[[Adjustment ]]*(TBL_PF_2B[[#This Row],[Rate]])+TBL_PF_2B[[#This Row],[Rate]]),2))</f>
        <v>3800</v>
      </c>
      <c r="F82" s="598"/>
      <c r="G82" s="600"/>
      <c r="I82" s="124"/>
    </row>
    <row r="83" spans="1:9">
      <c r="A83" s="594" t="s">
        <v>2492</v>
      </c>
      <c r="B83" s="606" t="s">
        <v>2312</v>
      </c>
      <c r="C83" s="598" t="s">
        <v>2393</v>
      </c>
      <c r="D83" s="599">
        <v>3300</v>
      </c>
      <c r="E83" s="599" cm="1">
        <f t="array" ref="E83">IF(COUNTIF(TBL_PF_2A[Check?],"Add")&gt;0,"Missing info",ROUND((TBL_PF_2A[[Adjustment ]]*(TBL_PF_2B[[#This Row],[Rate]])+TBL_PF_2B[[#This Row],[Rate]]),2))</f>
        <v>3135</v>
      </c>
      <c r="F83" s="598"/>
      <c r="G83" s="600"/>
      <c r="I83" s="124"/>
    </row>
    <row r="84" spans="1:9">
      <c r="A84" s="594" t="s">
        <v>2493</v>
      </c>
      <c r="B84" s="606" t="s">
        <v>2312</v>
      </c>
      <c r="C84" s="598" t="s">
        <v>2705</v>
      </c>
      <c r="D84" s="599">
        <v>3050</v>
      </c>
      <c r="E84" s="599" cm="1">
        <f t="array" ref="E84">IF(COUNTIF(TBL_PF_2A[Check?],"Add")&gt;0,"Missing info",ROUND((TBL_PF_2A[[Adjustment ]]*(TBL_PF_2B[[#This Row],[Rate]])+TBL_PF_2B[[#This Row],[Rate]]),2))</f>
        <v>2897.5</v>
      </c>
      <c r="F84" s="598"/>
      <c r="G84" s="600"/>
      <c r="I84" s="124"/>
    </row>
    <row r="85" spans="1:9">
      <c r="A85" s="594" t="s">
        <v>2494</v>
      </c>
      <c r="B85" s="606" t="s">
        <v>2312</v>
      </c>
      <c r="C85" s="598" t="s">
        <v>2394</v>
      </c>
      <c r="D85" s="599">
        <v>3000</v>
      </c>
      <c r="E85" s="599" cm="1">
        <f t="array" ref="E85">IF(COUNTIF(TBL_PF_2A[Check?],"Add")&gt;0,"Missing info",ROUND((TBL_PF_2A[[Adjustment ]]*(TBL_PF_2B[[#This Row],[Rate]])+TBL_PF_2B[[#This Row],[Rate]]),2))</f>
        <v>2850</v>
      </c>
      <c r="F85" s="598"/>
      <c r="G85" s="600"/>
      <c r="I85" s="124"/>
    </row>
    <row r="86" spans="1:9">
      <c r="A86" s="594" t="s">
        <v>2495</v>
      </c>
      <c r="B86" s="606" t="s">
        <v>2312</v>
      </c>
      <c r="C86" s="598" t="s">
        <v>2395</v>
      </c>
      <c r="D86" s="599">
        <v>2475</v>
      </c>
      <c r="E86" s="599" cm="1">
        <f t="array" ref="E86">IF(COUNTIF(TBL_PF_2A[Check?],"Add")&gt;0,"Missing info",ROUND((TBL_PF_2A[[Adjustment ]]*(TBL_PF_2B[[#This Row],[Rate]])+TBL_PF_2B[[#This Row],[Rate]]),2))</f>
        <v>2351.25</v>
      </c>
      <c r="F86" s="598"/>
      <c r="G86" s="600"/>
      <c r="I86" s="124"/>
    </row>
    <row r="87" spans="1:9">
      <c r="A87" s="594" t="s">
        <v>2496</v>
      </c>
      <c r="B87" s="606" t="s">
        <v>2312</v>
      </c>
      <c r="C87" s="598" t="s">
        <v>2396</v>
      </c>
      <c r="D87" s="599">
        <v>1525</v>
      </c>
      <c r="E87" s="599" cm="1">
        <f t="array" ref="E87">IF(COUNTIF(TBL_PF_2A[Check?],"Add")&gt;0,"Missing info",ROUND((TBL_PF_2A[[Adjustment ]]*(TBL_PF_2B[[#This Row],[Rate]])+TBL_PF_2B[[#This Row],[Rate]]),2))</f>
        <v>1448.75</v>
      </c>
      <c r="F87" s="598"/>
      <c r="G87" s="600"/>
      <c r="I87" s="124"/>
    </row>
    <row r="88" spans="1:9">
      <c r="A88" s="594" t="s">
        <v>2497</v>
      </c>
      <c r="B88" s="606" t="s">
        <v>2312</v>
      </c>
      <c r="C88" s="598" t="s">
        <v>2706</v>
      </c>
      <c r="D88" s="599">
        <v>4225</v>
      </c>
      <c r="E88" s="599" cm="1">
        <f t="array" ref="E88">IF(COUNTIF(TBL_PF_2A[Check?],"Add")&gt;0,"Missing info",ROUND((TBL_PF_2A[[Adjustment ]]*(TBL_PF_2B[[#This Row],[Rate]])+TBL_PF_2B[[#This Row],[Rate]]),2))</f>
        <v>4013.75</v>
      </c>
      <c r="F88" s="598"/>
      <c r="G88" s="600"/>
      <c r="I88" s="124"/>
    </row>
    <row r="89" spans="1:9">
      <c r="A89" s="594" t="s">
        <v>2498</v>
      </c>
      <c r="B89" s="606" t="s">
        <v>2312</v>
      </c>
      <c r="C89" s="598" t="s">
        <v>2397</v>
      </c>
      <c r="D89" s="599">
        <v>3425</v>
      </c>
      <c r="E89" s="599" cm="1">
        <f t="array" ref="E89">IF(COUNTIF(TBL_PF_2A[Check?],"Add")&gt;0,"Missing info",ROUND((TBL_PF_2A[[Adjustment ]]*(TBL_PF_2B[[#This Row],[Rate]])+TBL_PF_2B[[#This Row],[Rate]]),2))</f>
        <v>3253.75</v>
      </c>
      <c r="F89" s="598"/>
      <c r="G89" s="600"/>
      <c r="I89" s="124"/>
    </row>
    <row r="90" spans="1:9">
      <c r="A90" s="594" t="s">
        <v>2499</v>
      </c>
      <c r="B90" s="606" t="s">
        <v>2312</v>
      </c>
      <c r="C90" s="598" t="s">
        <v>2398</v>
      </c>
      <c r="D90" s="599">
        <v>3725</v>
      </c>
      <c r="E90" s="599" cm="1">
        <f t="array" ref="E90">IF(COUNTIF(TBL_PF_2A[Check?],"Add")&gt;0,"Missing info",ROUND((TBL_PF_2A[[Adjustment ]]*(TBL_PF_2B[[#This Row],[Rate]])+TBL_PF_2B[[#This Row],[Rate]]),2))</f>
        <v>3538.75</v>
      </c>
      <c r="F90" s="598"/>
      <c r="G90" s="600"/>
      <c r="I90" s="124"/>
    </row>
    <row r="91" spans="1:9">
      <c r="A91" s="594" t="s">
        <v>2500</v>
      </c>
      <c r="B91" s="606" t="s">
        <v>2312</v>
      </c>
      <c r="C91" s="598" t="s">
        <v>2399</v>
      </c>
      <c r="D91" s="599">
        <v>2900</v>
      </c>
      <c r="E91" s="599" cm="1">
        <f t="array" ref="E91">IF(COUNTIF(TBL_PF_2A[Check?],"Add")&gt;0,"Missing info",ROUND((TBL_PF_2A[[Adjustment ]]*(TBL_PF_2B[[#This Row],[Rate]])+TBL_PF_2B[[#This Row],[Rate]]),2))</f>
        <v>2755</v>
      </c>
      <c r="F91" s="598"/>
      <c r="G91" s="600"/>
      <c r="I91" s="124"/>
    </row>
    <row r="92" spans="1:9">
      <c r="A92" s="594" t="s">
        <v>2501</v>
      </c>
      <c r="B92" s="606" t="s">
        <v>2312</v>
      </c>
      <c r="C92" s="598" t="s">
        <v>2707</v>
      </c>
      <c r="D92" s="599">
        <v>5000</v>
      </c>
      <c r="E92" s="599" cm="1">
        <f t="array" ref="E92">IF(COUNTIF(TBL_PF_2A[Check?],"Add")&gt;0,"Missing info",ROUND((TBL_PF_2A[[Adjustment ]]*(TBL_PF_2B[[#This Row],[Rate]])+TBL_PF_2B[[#This Row],[Rate]]),2))</f>
        <v>4750</v>
      </c>
      <c r="F92" s="598"/>
      <c r="G92" s="600"/>
      <c r="I92" s="124"/>
    </row>
    <row r="93" spans="1:9">
      <c r="A93" s="594" t="s">
        <v>2502</v>
      </c>
      <c r="B93" s="606" t="s">
        <v>2312</v>
      </c>
      <c r="C93" s="598" t="s">
        <v>2400</v>
      </c>
      <c r="D93" s="599">
        <v>4300</v>
      </c>
      <c r="E93" s="599" cm="1">
        <f t="array" ref="E93">IF(COUNTIF(TBL_PF_2A[Check?],"Add")&gt;0,"Missing info",ROUND((TBL_PF_2A[[Adjustment ]]*(TBL_PF_2B[[#This Row],[Rate]])+TBL_PF_2B[[#This Row],[Rate]]),2))</f>
        <v>4085</v>
      </c>
      <c r="F93" s="598"/>
      <c r="G93" s="600"/>
      <c r="I93" s="124"/>
    </row>
    <row r="94" spans="1:9">
      <c r="A94" s="594" t="s">
        <v>2503</v>
      </c>
      <c r="B94" s="606" t="s">
        <v>2312</v>
      </c>
      <c r="C94" s="598" t="s">
        <v>2401</v>
      </c>
      <c r="D94" s="599">
        <v>4525</v>
      </c>
      <c r="E94" s="599" cm="1">
        <f t="array" ref="E94">IF(COUNTIF(TBL_PF_2A[Check?],"Add")&gt;0,"Missing info",ROUND((TBL_PF_2A[[Adjustment ]]*(TBL_PF_2B[[#This Row],[Rate]])+TBL_PF_2B[[#This Row],[Rate]]),2))</f>
        <v>4298.75</v>
      </c>
      <c r="F94" s="598"/>
      <c r="G94" s="600"/>
      <c r="I94" s="124"/>
    </row>
    <row r="95" spans="1:9">
      <c r="A95" s="594" t="s">
        <v>2504</v>
      </c>
      <c r="B95" s="606" t="s">
        <v>2312</v>
      </c>
      <c r="C95" s="598" t="s">
        <v>2402</v>
      </c>
      <c r="D95" s="599">
        <v>3850</v>
      </c>
      <c r="E95" s="599" cm="1">
        <f t="array" ref="E95">IF(COUNTIF(TBL_PF_2A[Check?],"Add")&gt;0,"Missing info",ROUND((TBL_PF_2A[[Adjustment ]]*(TBL_PF_2B[[#This Row],[Rate]])+TBL_PF_2B[[#This Row],[Rate]]),2))</f>
        <v>3657.5</v>
      </c>
      <c r="F95" s="598"/>
      <c r="G95" s="600"/>
      <c r="I95" s="124"/>
    </row>
    <row r="96" spans="1:9">
      <c r="A96" s="594" t="s">
        <v>2505</v>
      </c>
      <c r="B96" s="606" t="s">
        <v>2312</v>
      </c>
      <c r="C96" s="598" t="s">
        <v>2708</v>
      </c>
      <c r="D96" s="599">
        <v>3200</v>
      </c>
      <c r="E96" s="599" cm="1">
        <f t="array" ref="E96">IF(COUNTIF(TBL_PF_2A[Check?],"Add")&gt;0,"Missing info",ROUND((TBL_PF_2A[[Adjustment ]]*(TBL_PF_2B[[#This Row],[Rate]])+TBL_PF_2B[[#This Row],[Rate]]),2))</f>
        <v>3040</v>
      </c>
      <c r="F96" s="598"/>
      <c r="G96" s="600"/>
      <c r="I96" s="124"/>
    </row>
    <row r="97" spans="1:9">
      <c r="A97" s="594" t="s">
        <v>2506</v>
      </c>
      <c r="B97" s="606" t="s">
        <v>2312</v>
      </c>
      <c r="C97" s="598" t="s">
        <v>2403</v>
      </c>
      <c r="D97" s="599">
        <v>2225</v>
      </c>
      <c r="E97" s="599" cm="1">
        <f t="array" ref="E97">IF(COUNTIF(TBL_PF_2A[Check?],"Add")&gt;0,"Missing info",ROUND((TBL_PF_2A[[Adjustment ]]*(TBL_PF_2B[[#This Row],[Rate]])+TBL_PF_2B[[#This Row],[Rate]]),2))</f>
        <v>2113.75</v>
      </c>
      <c r="F97" s="598"/>
      <c r="G97" s="600"/>
      <c r="I97" s="124"/>
    </row>
    <row r="98" spans="1:9">
      <c r="A98" s="594" t="s">
        <v>2507</v>
      </c>
      <c r="B98" s="606" t="s">
        <v>2312</v>
      </c>
      <c r="C98" s="598" t="s">
        <v>2404</v>
      </c>
      <c r="D98" s="599">
        <v>2625</v>
      </c>
      <c r="E98" s="599" cm="1">
        <f t="array" ref="E98">IF(COUNTIF(TBL_PF_2A[Check?],"Add")&gt;0,"Missing info",ROUND((TBL_PF_2A[[Adjustment ]]*(TBL_PF_2B[[#This Row],[Rate]])+TBL_PF_2B[[#This Row],[Rate]]),2))</f>
        <v>2493.75</v>
      </c>
      <c r="F98" s="598"/>
      <c r="G98" s="600"/>
      <c r="I98" s="124"/>
    </row>
    <row r="99" spans="1:9">
      <c r="A99" s="594" t="s">
        <v>2508</v>
      </c>
      <c r="B99" s="606" t="s">
        <v>2312</v>
      </c>
      <c r="C99" s="598" t="s">
        <v>2405</v>
      </c>
      <c r="D99" s="599">
        <v>1650</v>
      </c>
      <c r="E99" s="599" cm="1">
        <f t="array" ref="E99">IF(COUNTIF(TBL_PF_2A[Check?],"Add")&gt;0,"Missing info",ROUND((TBL_PF_2A[[Adjustment ]]*(TBL_PF_2B[[#This Row],[Rate]])+TBL_PF_2B[[#This Row],[Rate]]),2))</f>
        <v>1567.5</v>
      </c>
      <c r="F99" s="598"/>
      <c r="G99" s="600"/>
      <c r="I99" s="124"/>
    </row>
    <row r="100" spans="1:9">
      <c r="A100" s="594" t="s">
        <v>2509</v>
      </c>
      <c r="B100" s="606" t="s">
        <v>2312</v>
      </c>
      <c r="C100" s="598" t="s">
        <v>2709</v>
      </c>
      <c r="D100" s="599">
        <v>4575</v>
      </c>
      <c r="E100" s="599" cm="1">
        <f t="array" ref="E100">IF(COUNTIF(TBL_PF_2A[Check?],"Add")&gt;0,"Missing info",ROUND((TBL_PF_2A[[Adjustment ]]*(TBL_PF_2B[[#This Row],[Rate]])+TBL_PF_2B[[#This Row],[Rate]]),2))</f>
        <v>4346.25</v>
      </c>
      <c r="F100" s="598"/>
      <c r="G100" s="600"/>
      <c r="I100" s="124"/>
    </row>
    <row r="101" spans="1:9">
      <c r="A101" s="594" t="s">
        <v>2510</v>
      </c>
      <c r="B101" s="606" t="s">
        <v>2312</v>
      </c>
      <c r="C101" s="598" t="s">
        <v>2406</v>
      </c>
      <c r="D101" s="599">
        <v>3750</v>
      </c>
      <c r="E101" s="599" cm="1">
        <f t="array" ref="E101">IF(COUNTIF(TBL_PF_2A[Check?],"Add")&gt;0,"Missing info",ROUND((TBL_PF_2A[[Adjustment ]]*(TBL_PF_2B[[#This Row],[Rate]])+TBL_PF_2B[[#This Row],[Rate]]),2))</f>
        <v>3562.5</v>
      </c>
      <c r="F101" s="598"/>
      <c r="G101" s="600"/>
      <c r="I101" s="124"/>
    </row>
    <row r="102" spans="1:9">
      <c r="A102" s="594" t="s">
        <v>2511</v>
      </c>
      <c r="B102" s="606" t="s">
        <v>2312</v>
      </c>
      <c r="C102" s="598" t="s">
        <v>2407</v>
      </c>
      <c r="D102" s="599">
        <v>4075</v>
      </c>
      <c r="E102" s="599" cm="1">
        <f t="array" ref="E102">IF(COUNTIF(TBL_PF_2A[Check?],"Add")&gt;0,"Missing info",ROUND((TBL_PF_2A[[Adjustment ]]*(TBL_PF_2B[[#This Row],[Rate]])+TBL_PF_2B[[#This Row],[Rate]]),2))</f>
        <v>3871.25</v>
      </c>
      <c r="F102" s="598"/>
      <c r="G102" s="600"/>
      <c r="I102" s="124"/>
    </row>
    <row r="103" spans="1:9">
      <c r="A103" s="594" t="s">
        <v>2512</v>
      </c>
      <c r="B103" s="606" t="s">
        <v>2312</v>
      </c>
      <c r="C103" s="598" t="s">
        <v>2408</v>
      </c>
      <c r="D103" s="599">
        <v>3250</v>
      </c>
      <c r="E103" s="599" cm="1">
        <f t="array" ref="E103">IF(COUNTIF(TBL_PF_2A[Check?],"Add")&gt;0,"Missing info",ROUND((TBL_PF_2A[[Adjustment ]]*(TBL_PF_2B[[#This Row],[Rate]])+TBL_PF_2B[[#This Row],[Rate]]),2))</f>
        <v>3087.5</v>
      </c>
      <c r="F103" s="598"/>
      <c r="G103" s="600"/>
      <c r="I103" s="124"/>
    </row>
    <row r="104" spans="1:9">
      <c r="A104" s="594" t="s">
        <v>2513</v>
      </c>
      <c r="B104" s="606" t="s">
        <v>2312</v>
      </c>
      <c r="C104" s="598" t="s">
        <v>2710</v>
      </c>
      <c r="D104" s="599">
        <v>5425</v>
      </c>
      <c r="E104" s="599" cm="1">
        <f t="array" ref="E104">IF(COUNTIF(TBL_PF_2A[Check?],"Add")&gt;0,"Missing info",ROUND((TBL_PF_2A[[Adjustment ]]*(TBL_PF_2B[[#This Row],[Rate]])+TBL_PF_2B[[#This Row],[Rate]]),2))</f>
        <v>5153.75</v>
      </c>
      <c r="F104" s="598"/>
      <c r="G104" s="600"/>
      <c r="I104" s="124"/>
    </row>
    <row r="105" spans="1:9">
      <c r="A105" s="594" t="s">
        <v>2514</v>
      </c>
      <c r="B105" s="606" t="s">
        <v>2312</v>
      </c>
      <c r="C105" s="598" t="s">
        <v>2409</v>
      </c>
      <c r="D105" s="599">
        <v>4750</v>
      </c>
      <c r="E105" s="599" cm="1">
        <f t="array" ref="E105">IF(COUNTIF(TBL_PF_2A[Check?],"Add")&gt;0,"Missing info",ROUND((TBL_PF_2A[[Adjustment ]]*(TBL_PF_2B[[#This Row],[Rate]])+TBL_PF_2B[[#This Row],[Rate]]),2))</f>
        <v>4512.5</v>
      </c>
      <c r="F105" s="598"/>
      <c r="G105" s="600"/>
      <c r="I105" s="124"/>
    </row>
    <row r="106" spans="1:9">
      <c r="A106" s="594" t="s">
        <v>2515</v>
      </c>
      <c r="B106" s="606" t="s">
        <v>2312</v>
      </c>
      <c r="C106" s="598" t="s">
        <v>2410</v>
      </c>
      <c r="D106" s="599">
        <v>5000</v>
      </c>
      <c r="E106" s="599" cm="1">
        <f t="array" ref="E106">IF(COUNTIF(TBL_PF_2A[Check?],"Add")&gt;0,"Missing info",ROUND((TBL_PF_2A[[Adjustment ]]*(TBL_PF_2B[[#This Row],[Rate]])+TBL_PF_2B[[#This Row],[Rate]]),2))</f>
        <v>4750</v>
      </c>
      <c r="F106" s="598"/>
      <c r="G106" s="600"/>
      <c r="I106" s="124"/>
    </row>
    <row r="107" spans="1:9">
      <c r="A107" s="594" t="s">
        <v>2516</v>
      </c>
      <c r="B107" s="606" t="s">
        <v>2312</v>
      </c>
      <c r="C107" s="598" t="s">
        <v>2411</v>
      </c>
      <c r="D107" s="599">
        <v>4325</v>
      </c>
      <c r="E107" s="599" cm="1">
        <f t="array" ref="E107">IF(COUNTIF(TBL_PF_2A[Check?],"Add")&gt;0,"Missing info",ROUND((TBL_PF_2A[[Adjustment ]]*(TBL_PF_2B[[#This Row],[Rate]])+TBL_PF_2B[[#This Row],[Rate]]),2))</f>
        <v>4108.75</v>
      </c>
      <c r="F107" s="598"/>
      <c r="G107" s="600"/>
      <c r="I107" s="124"/>
    </row>
    <row r="108" spans="1:9">
      <c r="A108" s="594" t="s">
        <v>2517</v>
      </c>
      <c r="B108" s="606" t="s">
        <v>2312</v>
      </c>
      <c r="C108" s="598" t="s">
        <v>2711</v>
      </c>
      <c r="D108" s="599">
        <v>3500</v>
      </c>
      <c r="E108" s="599" cm="1">
        <f t="array" ref="E108">IF(COUNTIF(TBL_PF_2A[Check?],"Add")&gt;0,"Missing info",ROUND((TBL_PF_2A[[Adjustment ]]*(TBL_PF_2B[[#This Row],[Rate]])+TBL_PF_2B[[#This Row],[Rate]]),2))</f>
        <v>3325</v>
      </c>
      <c r="F108" s="598"/>
      <c r="G108" s="600"/>
      <c r="I108" s="124"/>
    </row>
    <row r="109" spans="1:9">
      <c r="A109" s="594" t="s">
        <v>2518</v>
      </c>
      <c r="B109" s="606" t="s">
        <v>2312</v>
      </c>
      <c r="C109" s="598" t="s">
        <v>2412</v>
      </c>
      <c r="D109" s="599">
        <v>2550</v>
      </c>
      <c r="E109" s="599" cm="1">
        <f t="array" ref="E109">IF(COUNTIF(TBL_PF_2A[Check?],"Add")&gt;0,"Missing info",ROUND((TBL_PF_2A[[Adjustment ]]*(TBL_PF_2B[[#This Row],[Rate]])+TBL_PF_2B[[#This Row],[Rate]]),2))</f>
        <v>2422.5</v>
      </c>
      <c r="F109" s="598"/>
      <c r="G109" s="600"/>
      <c r="I109" s="124"/>
    </row>
    <row r="110" spans="1:9">
      <c r="A110" s="594" t="s">
        <v>2519</v>
      </c>
      <c r="B110" s="606" t="s">
        <v>2312</v>
      </c>
      <c r="C110" s="598" t="s">
        <v>2413</v>
      </c>
      <c r="D110" s="599">
        <v>2925</v>
      </c>
      <c r="E110" s="599" cm="1">
        <f t="array" ref="E110">IF(COUNTIF(TBL_PF_2A[Check?],"Add")&gt;0,"Missing info",ROUND((TBL_PF_2A[[Adjustment ]]*(TBL_PF_2B[[#This Row],[Rate]])+TBL_PF_2B[[#This Row],[Rate]]),2))</f>
        <v>2778.75</v>
      </c>
      <c r="F110" s="598"/>
      <c r="G110" s="600"/>
      <c r="I110" s="124"/>
    </row>
    <row r="111" spans="1:9">
      <c r="A111" s="594" t="s">
        <v>2520</v>
      </c>
      <c r="B111" s="606" t="s">
        <v>2312</v>
      </c>
      <c r="C111" s="598" t="s">
        <v>2414</v>
      </c>
      <c r="D111" s="599">
        <v>1975</v>
      </c>
      <c r="E111" s="599" cm="1">
        <f t="array" ref="E111">IF(COUNTIF(TBL_PF_2A[Check?],"Add")&gt;0,"Missing info",ROUND((TBL_PF_2A[[Adjustment ]]*(TBL_PF_2B[[#This Row],[Rate]])+TBL_PF_2B[[#This Row],[Rate]]),2))</f>
        <v>1876.25</v>
      </c>
      <c r="F111" s="598"/>
      <c r="G111" s="600"/>
      <c r="I111" s="124"/>
    </row>
    <row r="112" spans="1:9">
      <c r="A112" s="594" t="s">
        <v>2521</v>
      </c>
      <c r="B112" s="606" t="s">
        <v>2312</v>
      </c>
      <c r="C112" s="598" t="s">
        <v>2712</v>
      </c>
      <c r="D112" s="599">
        <v>5225</v>
      </c>
      <c r="E112" s="599" cm="1">
        <f t="array" ref="E112">IF(COUNTIF(TBL_PF_2A[Check?],"Add")&gt;0,"Missing info",ROUND((TBL_PF_2A[[Adjustment ]]*(TBL_PF_2B[[#This Row],[Rate]])+TBL_PF_2B[[#This Row],[Rate]]),2))</f>
        <v>4963.75</v>
      </c>
      <c r="F112" s="598"/>
      <c r="G112" s="600"/>
      <c r="I112" s="124"/>
    </row>
    <row r="113" spans="1:9">
      <c r="A113" s="594" t="s">
        <v>2522</v>
      </c>
      <c r="B113" s="606" t="s">
        <v>2312</v>
      </c>
      <c r="C113" s="598" t="s">
        <v>2415</v>
      </c>
      <c r="D113" s="599">
        <v>4425</v>
      </c>
      <c r="E113" s="599" cm="1">
        <f t="array" ref="E113">IF(COUNTIF(TBL_PF_2A[Check?],"Add")&gt;0,"Missing info",ROUND((TBL_PF_2A[[Adjustment ]]*(TBL_PF_2B[[#This Row],[Rate]])+TBL_PF_2B[[#This Row],[Rate]]),2))</f>
        <v>4203.75</v>
      </c>
      <c r="F113" s="598"/>
      <c r="G113" s="600"/>
      <c r="I113" s="124"/>
    </row>
    <row r="114" spans="1:9">
      <c r="A114" s="594" t="s">
        <v>2523</v>
      </c>
      <c r="B114" s="606" t="s">
        <v>2312</v>
      </c>
      <c r="C114" s="598" t="s">
        <v>2416</v>
      </c>
      <c r="D114" s="599">
        <v>4725</v>
      </c>
      <c r="E114" s="599" cm="1">
        <f t="array" ref="E114">IF(COUNTIF(TBL_PF_2A[Check?],"Add")&gt;0,"Missing info",ROUND((TBL_PF_2A[[Adjustment ]]*(TBL_PF_2B[[#This Row],[Rate]])+TBL_PF_2B[[#This Row],[Rate]]),2))</f>
        <v>4488.75</v>
      </c>
      <c r="F114" s="598"/>
      <c r="G114" s="600"/>
      <c r="I114" s="124"/>
    </row>
    <row r="115" spans="1:9">
      <c r="A115" s="594" t="s">
        <v>2524</v>
      </c>
      <c r="B115" s="606" t="s">
        <v>2312</v>
      </c>
      <c r="C115" s="598" t="s">
        <v>2417</v>
      </c>
      <c r="D115" s="599">
        <v>3900</v>
      </c>
      <c r="E115" s="599" cm="1">
        <f t="array" ref="E115">IF(COUNTIF(TBL_PF_2A[Check?],"Add")&gt;0,"Missing info",ROUND((TBL_PF_2A[[Adjustment ]]*(TBL_PF_2B[[#This Row],[Rate]])+TBL_PF_2B[[#This Row],[Rate]]),2))</f>
        <v>3705</v>
      </c>
      <c r="F115" s="598"/>
      <c r="G115" s="600"/>
      <c r="I115" s="124"/>
    </row>
    <row r="116" spans="1:9">
      <c r="A116" s="594" t="s">
        <v>2525</v>
      </c>
      <c r="B116" s="606" t="s">
        <v>2312</v>
      </c>
      <c r="C116" s="598" t="s">
        <v>2713</v>
      </c>
      <c r="D116" s="599">
        <v>6200</v>
      </c>
      <c r="E116" s="599" cm="1">
        <f t="array" ref="E116">IF(COUNTIF(TBL_PF_2A[Check?],"Add")&gt;0,"Missing info",ROUND((TBL_PF_2A[[Adjustment ]]*(TBL_PF_2B[[#This Row],[Rate]])+TBL_PF_2B[[#This Row],[Rate]]),2))</f>
        <v>5890</v>
      </c>
      <c r="F116" s="598"/>
      <c r="G116" s="600"/>
      <c r="I116" s="124"/>
    </row>
    <row r="117" spans="1:9">
      <c r="A117" s="594" t="s">
        <v>2526</v>
      </c>
      <c r="B117" s="606" t="s">
        <v>2312</v>
      </c>
      <c r="C117" s="598" t="s">
        <v>2418</v>
      </c>
      <c r="D117" s="599">
        <v>5525</v>
      </c>
      <c r="E117" s="599" cm="1">
        <f t="array" ref="E117">IF(COUNTIF(TBL_PF_2A[Check?],"Add")&gt;0,"Missing info",ROUND((TBL_PF_2A[[Adjustment ]]*(TBL_PF_2B[[#This Row],[Rate]])+TBL_PF_2B[[#This Row],[Rate]]),2))</f>
        <v>5248.75</v>
      </c>
      <c r="F117" s="598"/>
      <c r="G117" s="600"/>
      <c r="I117" s="124"/>
    </row>
    <row r="118" spans="1:9">
      <c r="A118" s="594" t="s">
        <v>2527</v>
      </c>
      <c r="B118" s="606" t="s">
        <v>2312</v>
      </c>
      <c r="C118" s="598" t="s">
        <v>2419</v>
      </c>
      <c r="D118" s="599">
        <v>5750</v>
      </c>
      <c r="E118" s="599" cm="1">
        <f t="array" ref="E118">IF(COUNTIF(TBL_PF_2A[Check?],"Add")&gt;0,"Missing info",ROUND((TBL_PF_2A[[Adjustment ]]*(TBL_PF_2B[[#This Row],[Rate]])+TBL_PF_2B[[#This Row],[Rate]]),2))</f>
        <v>5462.5</v>
      </c>
      <c r="F118" s="598"/>
      <c r="G118" s="600"/>
      <c r="I118" s="124"/>
    </row>
    <row r="119" spans="1:9">
      <c r="A119" s="594" t="s">
        <v>2528</v>
      </c>
      <c r="B119" s="606" t="s">
        <v>2312</v>
      </c>
      <c r="C119" s="598" t="s">
        <v>2420</v>
      </c>
      <c r="D119" s="599">
        <v>5100</v>
      </c>
      <c r="E119" s="599" cm="1">
        <f t="array" ref="E119">IF(COUNTIF(TBL_PF_2A[Check?],"Add")&gt;0,"Missing info",ROUND((TBL_PF_2A[[Adjustment ]]*(TBL_PF_2B[[#This Row],[Rate]])+TBL_PF_2B[[#This Row],[Rate]]),2))</f>
        <v>4845</v>
      </c>
      <c r="F119" s="598"/>
      <c r="G119" s="600"/>
      <c r="I119" s="124"/>
    </row>
    <row r="120" spans="1:9">
      <c r="A120" s="594" t="s">
        <v>2529</v>
      </c>
      <c r="B120" s="606" t="s">
        <v>2312</v>
      </c>
      <c r="C120" s="598" t="s">
        <v>2714</v>
      </c>
      <c r="D120" s="599">
        <v>3625</v>
      </c>
      <c r="E120" s="599" cm="1">
        <f t="array" ref="E120">IF(COUNTIF(TBL_PF_2A[Check?],"Add")&gt;0,"Missing info",ROUND((TBL_PF_2A[[Adjustment ]]*(TBL_PF_2B[[#This Row],[Rate]])+TBL_PF_2B[[#This Row],[Rate]]),2))</f>
        <v>3443.75</v>
      </c>
      <c r="F120" s="598"/>
      <c r="G120" s="600"/>
      <c r="I120" s="124"/>
    </row>
    <row r="121" spans="1:9">
      <c r="A121" s="594" t="s">
        <v>2530</v>
      </c>
      <c r="B121" s="606" t="s">
        <v>2312</v>
      </c>
      <c r="C121" s="598" t="s">
        <v>2421</v>
      </c>
      <c r="D121" s="599">
        <v>2675</v>
      </c>
      <c r="E121" s="599" cm="1">
        <f t="array" ref="E121">IF(COUNTIF(TBL_PF_2A[Check?],"Add")&gt;0,"Missing info",ROUND((TBL_PF_2A[[Adjustment ]]*(TBL_PF_2B[[#This Row],[Rate]])+TBL_PF_2B[[#This Row],[Rate]]),2))</f>
        <v>2541.25</v>
      </c>
      <c r="F121" s="598"/>
      <c r="G121" s="600"/>
      <c r="I121" s="124"/>
    </row>
    <row r="122" spans="1:9">
      <c r="A122" s="594" t="s">
        <v>2531</v>
      </c>
      <c r="B122" s="606" t="s">
        <v>2312</v>
      </c>
      <c r="C122" s="598" t="s">
        <v>2422</v>
      </c>
      <c r="D122" s="599">
        <v>3050</v>
      </c>
      <c r="E122" s="599" cm="1">
        <f t="array" ref="E122">IF(COUNTIF(TBL_PF_2A[Check?],"Add")&gt;0,"Missing info",ROUND((TBL_PF_2A[[Adjustment ]]*(TBL_PF_2B[[#This Row],[Rate]])+TBL_PF_2B[[#This Row],[Rate]]),2))</f>
        <v>2897.5</v>
      </c>
      <c r="F122" s="598"/>
      <c r="G122" s="600"/>
      <c r="I122" s="124"/>
    </row>
    <row r="123" spans="1:9">
      <c r="A123" s="594" t="s">
        <v>2532</v>
      </c>
      <c r="B123" s="606" t="s">
        <v>2312</v>
      </c>
      <c r="C123" s="598" t="s">
        <v>2423</v>
      </c>
      <c r="D123" s="599">
        <v>2100</v>
      </c>
      <c r="E123" s="599" cm="1">
        <f t="array" ref="E123">IF(COUNTIF(TBL_PF_2A[Check?],"Add")&gt;0,"Missing info",ROUND((TBL_PF_2A[[Adjustment ]]*(TBL_PF_2B[[#This Row],[Rate]])+TBL_PF_2B[[#This Row],[Rate]]),2))</f>
        <v>1995</v>
      </c>
      <c r="F123" s="598"/>
      <c r="G123" s="600"/>
      <c r="I123" s="124"/>
    </row>
    <row r="124" spans="1:9">
      <c r="A124" s="594" t="s">
        <v>2533</v>
      </c>
      <c r="B124" s="606" t="s">
        <v>2312</v>
      </c>
      <c r="C124" s="598" t="s">
        <v>2715</v>
      </c>
      <c r="D124" s="599">
        <v>5500</v>
      </c>
      <c r="E124" s="599" cm="1">
        <f t="array" ref="E124">IF(COUNTIF(TBL_PF_2A[Check?],"Add")&gt;0,"Missing info",ROUND((TBL_PF_2A[[Adjustment ]]*(TBL_PF_2B[[#This Row],[Rate]])+TBL_PF_2B[[#This Row],[Rate]]),2))</f>
        <v>5225</v>
      </c>
      <c r="F124" s="598"/>
      <c r="G124" s="600"/>
      <c r="I124" s="124"/>
    </row>
    <row r="125" spans="1:9">
      <c r="A125" s="594" t="s">
        <v>2534</v>
      </c>
      <c r="B125" s="606" t="s">
        <v>2312</v>
      </c>
      <c r="C125" s="598" t="s">
        <v>2424</v>
      </c>
      <c r="D125" s="599">
        <v>4700</v>
      </c>
      <c r="E125" s="599" cm="1">
        <f t="array" ref="E125">IF(COUNTIF(TBL_PF_2A[Check?],"Add")&gt;0,"Missing info",ROUND((TBL_PF_2A[[Adjustment ]]*(TBL_PF_2B[[#This Row],[Rate]])+TBL_PF_2B[[#This Row],[Rate]]),2))</f>
        <v>4465</v>
      </c>
      <c r="F125" s="598"/>
      <c r="G125" s="600"/>
      <c r="I125" s="124"/>
    </row>
    <row r="126" spans="1:9">
      <c r="A126" s="594" t="s">
        <v>2535</v>
      </c>
      <c r="B126" s="606" t="s">
        <v>2312</v>
      </c>
      <c r="C126" s="598" t="s">
        <v>2425</v>
      </c>
      <c r="D126" s="599">
        <v>5000</v>
      </c>
      <c r="E126" s="599" cm="1">
        <f t="array" ref="E126">IF(COUNTIF(TBL_PF_2A[Check?],"Add")&gt;0,"Missing info",ROUND((TBL_PF_2A[[Adjustment ]]*(TBL_PF_2B[[#This Row],[Rate]])+TBL_PF_2B[[#This Row],[Rate]]),2))</f>
        <v>4750</v>
      </c>
      <c r="F126" s="598"/>
      <c r="G126" s="600"/>
      <c r="I126" s="124"/>
    </row>
    <row r="127" spans="1:9">
      <c r="A127" s="594" t="s">
        <v>2536</v>
      </c>
      <c r="B127" s="606" t="s">
        <v>2312</v>
      </c>
      <c r="C127" s="598" t="s">
        <v>2426</v>
      </c>
      <c r="D127" s="599">
        <v>4200</v>
      </c>
      <c r="E127" s="599" cm="1">
        <f t="array" ref="E127">IF(COUNTIF(TBL_PF_2A[Check?],"Add")&gt;0,"Missing info",ROUND((TBL_PF_2A[[Adjustment ]]*(TBL_PF_2B[[#This Row],[Rate]])+TBL_PF_2B[[#This Row],[Rate]]),2))</f>
        <v>3990</v>
      </c>
      <c r="F127" s="598"/>
      <c r="G127" s="600"/>
      <c r="I127" s="124"/>
    </row>
    <row r="128" spans="1:9">
      <c r="A128" s="594" t="s">
        <v>2537</v>
      </c>
      <c r="B128" s="606" t="s">
        <v>2312</v>
      </c>
      <c r="C128" s="598" t="s">
        <v>2716</v>
      </c>
      <c r="D128" s="599">
        <v>6600</v>
      </c>
      <c r="E128" s="599" cm="1">
        <f t="array" ref="E128">IF(COUNTIF(TBL_PF_2A[Check?],"Add")&gt;0,"Missing info",ROUND((TBL_PF_2A[[Adjustment ]]*(TBL_PF_2B[[#This Row],[Rate]])+TBL_PF_2B[[#This Row],[Rate]]),2))</f>
        <v>6270</v>
      </c>
      <c r="F128" s="598"/>
      <c r="G128" s="600"/>
      <c r="I128" s="124"/>
    </row>
    <row r="129" spans="1:9">
      <c r="A129" s="594" t="s">
        <v>2538</v>
      </c>
      <c r="B129" s="606" t="s">
        <v>2312</v>
      </c>
      <c r="C129" s="598" t="s">
        <v>2427</v>
      </c>
      <c r="D129" s="599">
        <v>5925</v>
      </c>
      <c r="E129" s="599" cm="1">
        <f t="array" ref="E129">IF(COUNTIF(TBL_PF_2A[Check?],"Add")&gt;0,"Missing info",ROUND((TBL_PF_2A[[Adjustment ]]*(TBL_PF_2B[[#This Row],[Rate]])+TBL_PF_2B[[#This Row],[Rate]]),2))</f>
        <v>5628.75</v>
      </c>
      <c r="F129" s="598"/>
      <c r="G129" s="600"/>
      <c r="I129" s="124"/>
    </row>
    <row r="130" spans="1:9">
      <c r="A130" s="594" t="s">
        <v>2539</v>
      </c>
      <c r="B130" s="606" t="s">
        <v>2312</v>
      </c>
      <c r="C130" s="598" t="s">
        <v>2428</v>
      </c>
      <c r="D130" s="599">
        <v>6175</v>
      </c>
      <c r="E130" s="599" cm="1">
        <f t="array" ref="E130">IF(COUNTIF(TBL_PF_2A[Check?],"Add")&gt;0,"Missing info",ROUND((TBL_PF_2A[[Adjustment ]]*(TBL_PF_2B[[#This Row],[Rate]])+TBL_PF_2B[[#This Row],[Rate]]),2))</f>
        <v>5866.25</v>
      </c>
      <c r="F130" s="598"/>
      <c r="G130" s="600"/>
      <c r="I130" s="124"/>
    </row>
    <row r="131" spans="1:9">
      <c r="A131" s="594" t="s">
        <v>2540</v>
      </c>
      <c r="B131" s="606" t="s">
        <v>2312</v>
      </c>
      <c r="C131" s="598" t="s">
        <v>2429</v>
      </c>
      <c r="D131" s="599">
        <v>5500</v>
      </c>
      <c r="E131" s="599" cm="1">
        <f t="array" ref="E131">IF(COUNTIF(TBL_PF_2A[Check?],"Add")&gt;0,"Missing info",ROUND((TBL_PF_2A[[Adjustment ]]*(TBL_PF_2B[[#This Row],[Rate]])+TBL_PF_2B[[#This Row],[Rate]]),2))</f>
        <v>5225</v>
      </c>
      <c r="F131" s="598"/>
      <c r="G131" s="600"/>
      <c r="I131" s="124"/>
    </row>
    <row r="132" spans="1:9">
      <c r="A132" s="594" t="s">
        <v>2541</v>
      </c>
      <c r="B132" s="606" t="s">
        <v>2312</v>
      </c>
      <c r="C132" s="598" t="s">
        <v>2717</v>
      </c>
      <c r="D132" s="599">
        <v>3425</v>
      </c>
      <c r="E132" s="599" cm="1">
        <f t="array" ref="E132">IF(COUNTIF(TBL_PF_2A[Check?],"Add")&gt;0,"Missing info",ROUND((TBL_PF_2A[[Adjustment ]]*(TBL_PF_2B[[#This Row],[Rate]])+TBL_PF_2B[[#This Row],[Rate]]),2))</f>
        <v>3253.75</v>
      </c>
      <c r="F132" s="598"/>
      <c r="G132" s="600"/>
      <c r="I132" s="124"/>
    </row>
    <row r="133" spans="1:9">
      <c r="A133" s="594" t="s">
        <v>2542</v>
      </c>
      <c r="B133" s="606" t="s">
        <v>2312</v>
      </c>
      <c r="C133" s="598" t="s">
        <v>2430</v>
      </c>
      <c r="D133" s="599">
        <v>2475</v>
      </c>
      <c r="E133" s="599" cm="1">
        <f t="array" ref="E133">IF(COUNTIF(TBL_PF_2A[Check?],"Add")&gt;0,"Missing info",ROUND((TBL_PF_2A[[Adjustment ]]*(TBL_PF_2B[[#This Row],[Rate]])+TBL_PF_2B[[#This Row],[Rate]]),2))</f>
        <v>2351.25</v>
      </c>
      <c r="F133" s="598"/>
      <c r="G133" s="600"/>
      <c r="I133" s="124"/>
    </row>
    <row r="134" spans="1:9">
      <c r="A134" s="594" t="s">
        <v>2543</v>
      </c>
      <c r="B134" s="606" t="s">
        <v>2312</v>
      </c>
      <c r="C134" s="598" t="s">
        <v>2431</v>
      </c>
      <c r="D134" s="599">
        <v>2850</v>
      </c>
      <c r="E134" s="599" cm="1">
        <f t="array" ref="E134">IF(COUNTIF(TBL_PF_2A[Check?],"Add")&gt;0,"Missing info",ROUND((TBL_PF_2A[[Adjustment ]]*(TBL_PF_2B[[#This Row],[Rate]])+TBL_PF_2B[[#This Row],[Rate]]),2))</f>
        <v>2707.5</v>
      </c>
      <c r="F134" s="598"/>
      <c r="G134" s="600"/>
      <c r="I134" s="124"/>
    </row>
    <row r="135" spans="1:9">
      <c r="A135" s="594" t="s">
        <v>2544</v>
      </c>
      <c r="B135" s="606" t="s">
        <v>2312</v>
      </c>
      <c r="C135" s="598" t="s">
        <v>2432</v>
      </c>
      <c r="D135" s="599">
        <v>1900</v>
      </c>
      <c r="E135" s="599" cm="1">
        <f t="array" ref="E135">IF(COUNTIF(TBL_PF_2A[Check?],"Add")&gt;0,"Missing info",ROUND((TBL_PF_2A[[Adjustment ]]*(TBL_PF_2B[[#This Row],[Rate]])+TBL_PF_2B[[#This Row],[Rate]]),2))</f>
        <v>1805</v>
      </c>
      <c r="F135" s="598"/>
      <c r="G135" s="600"/>
      <c r="I135" s="124"/>
    </row>
    <row r="136" spans="1:9">
      <c r="A136" s="594" t="s">
        <v>2545</v>
      </c>
      <c r="B136" s="606" t="s">
        <v>2312</v>
      </c>
      <c r="C136" s="598" t="s">
        <v>2718</v>
      </c>
      <c r="D136" s="599">
        <v>5000</v>
      </c>
      <c r="E136" s="599" cm="1">
        <f t="array" ref="E136">IF(COUNTIF(TBL_PF_2A[Check?],"Add")&gt;0,"Missing info",ROUND((TBL_PF_2A[[Adjustment ]]*(TBL_PF_2B[[#This Row],[Rate]])+TBL_PF_2B[[#This Row],[Rate]]),2))</f>
        <v>4750</v>
      </c>
      <c r="F136" s="598"/>
      <c r="G136" s="600"/>
      <c r="I136" s="124"/>
    </row>
    <row r="137" spans="1:9">
      <c r="A137" s="594" t="s">
        <v>2546</v>
      </c>
      <c r="B137" s="606" t="s">
        <v>2312</v>
      </c>
      <c r="C137" s="598" t="s">
        <v>2433</v>
      </c>
      <c r="D137" s="599">
        <v>4200</v>
      </c>
      <c r="E137" s="599" cm="1">
        <f t="array" ref="E137">IF(COUNTIF(TBL_PF_2A[Check?],"Add")&gt;0,"Missing info",ROUND((TBL_PF_2A[[Adjustment ]]*(TBL_PF_2B[[#This Row],[Rate]])+TBL_PF_2B[[#This Row],[Rate]]),2))</f>
        <v>3990</v>
      </c>
      <c r="F137" s="598"/>
      <c r="G137" s="600"/>
      <c r="I137" s="124"/>
    </row>
    <row r="138" spans="1:9">
      <c r="A138" s="594" t="s">
        <v>2547</v>
      </c>
      <c r="B138" s="606" t="s">
        <v>2312</v>
      </c>
      <c r="C138" s="598" t="s">
        <v>2434</v>
      </c>
      <c r="D138" s="599">
        <v>4500</v>
      </c>
      <c r="E138" s="599" cm="1">
        <f t="array" ref="E138">IF(COUNTIF(TBL_PF_2A[Check?],"Add")&gt;0,"Missing info",ROUND((TBL_PF_2A[[Adjustment ]]*(TBL_PF_2B[[#This Row],[Rate]])+TBL_PF_2B[[#This Row],[Rate]]),2))</f>
        <v>4275</v>
      </c>
      <c r="F138" s="598"/>
      <c r="G138" s="600"/>
      <c r="I138" s="124"/>
    </row>
    <row r="139" spans="1:9">
      <c r="A139" s="594" t="s">
        <v>2548</v>
      </c>
      <c r="B139" s="606" t="s">
        <v>2312</v>
      </c>
      <c r="C139" s="598" t="s">
        <v>2435</v>
      </c>
      <c r="D139" s="599">
        <v>3700</v>
      </c>
      <c r="E139" s="599" cm="1">
        <f t="array" ref="E139">IF(COUNTIF(TBL_PF_2A[Check?],"Add")&gt;0,"Missing info",ROUND((TBL_PF_2A[[Adjustment ]]*(TBL_PF_2B[[#This Row],[Rate]])+TBL_PF_2B[[#This Row],[Rate]]),2))</f>
        <v>3515</v>
      </c>
      <c r="F139" s="598"/>
      <c r="G139" s="600"/>
      <c r="I139" s="124"/>
    </row>
    <row r="140" spans="1:9">
      <c r="A140" s="594" t="s">
        <v>2549</v>
      </c>
      <c r="B140" s="606" t="s">
        <v>2312</v>
      </c>
      <c r="C140" s="598" t="s">
        <v>2719</v>
      </c>
      <c r="D140" s="599">
        <v>5975</v>
      </c>
      <c r="E140" s="599" cm="1">
        <f t="array" ref="E140">IF(COUNTIF(TBL_PF_2A[Check?],"Add")&gt;0,"Missing info",ROUND((TBL_PF_2A[[Adjustment ]]*(TBL_PF_2B[[#This Row],[Rate]])+TBL_PF_2B[[#This Row],[Rate]]),2))</f>
        <v>5676.25</v>
      </c>
      <c r="F140" s="598"/>
      <c r="G140" s="600"/>
      <c r="I140" s="124"/>
    </row>
    <row r="141" spans="1:9">
      <c r="A141" s="594" t="s">
        <v>2550</v>
      </c>
      <c r="B141" s="606" t="s">
        <v>2312</v>
      </c>
      <c r="C141" s="598" t="s">
        <v>2436</v>
      </c>
      <c r="D141" s="599">
        <v>5300</v>
      </c>
      <c r="E141" s="599" cm="1">
        <f t="array" ref="E141">IF(COUNTIF(TBL_PF_2A[Check?],"Add")&gt;0,"Missing info",ROUND((TBL_PF_2A[[Adjustment ]]*(TBL_PF_2B[[#This Row],[Rate]])+TBL_PF_2B[[#This Row],[Rate]]),2))</f>
        <v>5035</v>
      </c>
      <c r="F141" s="598"/>
      <c r="G141" s="600"/>
      <c r="I141" s="124"/>
    </row>
    <row r="142" spans="1:9">
      <c r="A142" s="594" t="s">
        <v>2551</v>
      </c>
      <c r="B142" s="606" t="s">
        <v>2312</v>
      </c>
      <c r="C142" s="598" t="s">
        <v>2437</v>
      </c>
      <c r="D142" s="599">
        <v>5550</v>
      </c>
      <c r="E142" s="599" cm="1">
        <f t="array" ref="E142">IF(COUNTIF(TBL_PF_2A[Check?],"Add")&gt;0,"Missing info",ROUND((TBL_PF_2A[[Adjustment ]]*(TBL_PF_2B[[#This Row],[Rate]])+TBL_PF_2B[[#This Row],[Rate]]),2))</f>
        <v>5272.5</v>
      </c>
      <c r="F142" s="598"/>
      <c r="G142" s="600"/>
      <c r="I142" s="124"/>
    </row>
    <row r="143" spans="1:9">
      <c r="A143" s="594" t="s">
        <v>2552</v>
      </c>
      <c r="B143" s="606" t="s">
        <v>2312</v>
      </c>
      <c r="C143" s="598" t="s">
        <v>2438</v>
      </c>
      <c r="D143" s="599">
        <v>4875</v>
      </c>
      <c r="E143" s="599" cm="1">
        <f t="array" ref="E143">IF(COUNTIF(TBL_PF_2A[Check?],"Add")&gt;0,"Missing info",ROUND((TBL_PF_2A[[Adjustment ]]*(TBL_PF_2B[[#This Row],[Rate]])+TBL_PF_2B[[#This Row],[Rate]]),2))</f>
        <v>4631.25</v>
      </c>
      <c r="F143" s="598"/>
      <c r="G143" s="600"/>
      <c r="I143" s="124"/>
    </row>
    <row r="144" spans="1:9">
      <c r="A144" s="594" t="s">
        <v>2553</v>
      </c>
      <c r="B144" s="606" t="s">
        <v>2312</v>
      </c>
      <c r="C144" s="598" t="s">
        <v>2721</v>
      </c>
      <c r="D144" s="599">
        <v>3550</v>
      </c>
      <c r="E144" s="599" cm="1">
        <f t="array" ref="E144">IF(COUNTIF(TBL_PF_2A[Check?],"Add")&gt;0,"Missing info",ROUND((TBL_PF_2A[[Adjustment ]]*(TBL_PF_2B[[#This Row],[Rate]])+TBL_PF_2B[[#This Row],[Rate]]),2))</f>
        <v>3372.5</v>
      </c>
      <c r="F144" s="598"/>
      <c r="G144" s="600"/>
      <c r="I144" s="124"/>
    </row>
    <row r="145" spans="1:9">
      <c r="A145" s="594" t="s">
        <v>2554</v>
      </c>
      <c r="B145" s="606" t="s">
        <v>2312</v>
      </c>
      <c r="C145" s="598" t="s">
        <v>2439</v>
      </c>
      <c r="D145" s="599">
        <v>2600</v>
      </c>
      <c r="E145" s="599" cm="1">
        <f t="array" ref="E145">IF(COUNTIF(TBL_PF_2A[Check?],"Add")&gt;0,"Missing info",ROUND((TBL_PF_2A[[Adjustment ]]*(TBL_PF_2B[[#This Row],[Rate]])+TBL_PF_2B[[#This Row],[Rate]]),2))</f>
        <v>2470</v>
      </c>
      <c r="F145" s="598"/>
      <c r="G145" s="600"/>
      <c r="I145" s="124"/>
    </row>
    <row r="146" spans="1:9">
      <c r="A146" s="594" t="s">
        <v>2555</v>
      </c>
      <c r="B146" s="606" t="s">
        <v>2312</v>
      </c>
      <c r="C146" s="598" t="s">
        <v>2440</v>
      </c>
      <c r="D146" s="599">
        <v>2975</v>
      </c>
      <c r="E146" s="599" cm="1">
        <f t="array" ref="E146">IF(COUNTIF(TBL_PF_2A[Check?],"Add")&gt;0,"Missing info",ROUND((TBL_PF_2A[[Adjustment ]]*(TBL_PF_2B[[#This Row],[Rate]])+TBL_PF_2B[[#This Row],[Rate]]),2))</f>
        <v>2826.25</v>
      </c>
      <c r="F146" s="598"/>
      <c r="G146" s="600"/>
      <c r="I146" s="124"/>
    </row>
    <row r="147" spans="1:9">
      <c r="A147" s="594" t="s">
        <v>2556</v>
      </c>
      <c r="B147" s="606" t="s">
        <v>2312</v>
      </c>
      <c r="C147" s="598" t="s">
        <v>2441</v>
      </c>
      <c r="D147" s="599">
        <v>2000</v>
      </c>
      <c r="E147" s="599" cm="1">
        <f t="array" ref="E147">IF(COUNTIF(TBL_PF_2A[Check?],"Add")&gt;0,"Missing info",ROUND((TBL_PF_2A[[Adjustment ]]*(TBL_PF_2B[[#This Row],[Rate]])+TBL_PF_2B[[#This Row],[Rate]]),2))</f>
        <v>1900</v>
      </c>
      <c r="F147" s="598"/>
      <c r="G147" s="600"/>
      <c r="I147" s="124"/>
    </row>
    <row r="148" spans="1:9">
      <c r="A148" s="594" t="s">
        <v>2557</v>
      </c>
      <c r="B148" s="606" t="s">
        <v>2312</v>
      </c>
      <c r="C148" s="598" t="s">
        <v>2720</v>
      </c>
      <c r="D148" s="599">
        <v>5300</v>
      </c>
      <c r="E148" s="599" cm="1">
        <f t="array" ref="E148">IF(COUNTIF(TBL_PF_2A[Check?],"Add")&gt;0,"Missing info",ROUND((TBL_PF_2A[[Adjustment ]]*(TBL_PF_2B[[#This Row],[Rate]])+TBL_PF_2B[[#This Row],[Rate]]),2))</f>
        <v>5035</v>
      </c>
      <c r="F148" s="598"/>
      <c r="G148" s="600"/>
      <c r="I148" s="124"/>
    </row>
    <row r="149" spans="1:9">
      <c r="A149" s="594" t="s">
        <v>2558</v>
      </c>
      <c r="B149" s="606" t="s">
        <v>2312</v>
      </c>
      <c r="C149" s="598" t="s">
        <v>2442</v>
      </c>
      <c r="D149" s="599">
        <v>4475</v>
      </c>
      <c r="E149" s="599" cm="1">
        <f t="array" ref="E149">IF(COUNTIF(TBL_PF_2A[Check?],"Add")&gt;0,"Missing info",ROUND((TBL_PF_2A[[Adjustment ]]*(TBL_PF_2B[[#This Row],[Rate]])+TBL_PF_2B[[#This Row],[Rate]]),2))</f>
        <v>4251.25</v>
      </c>
      <c r="F149" s="598"/>
      <c r="G149" s="600"/>
      <c r="I149" s="124"/>
    </row>
    <row r="150" spans="1:9">
      <c r="A150" s="594" t="s">
        <v>2559</v>
      </c>
      <c r="B150" s="606" t="s">
        <v>2312</v>
      </c>
      <c r="C150" s="598" t="s">
        <v>2443</v>
      </c>
      <c r="D150" s="599">
        <v>4775</v>
      </c>
      <c r="E150" s="599" cm="1">
        <f t="array" ref="E150">IF(COUNTIF(TBL_PF_2A[Check?],"Add")&gt;0,"Missing info",ROUND((TBL_PF_2A[[Adjustment ]]*(TBL_PF_2B[[#This Row],[Rate]])+TBL_PF_2B[[#This Row],[Rate]]),2))</f>
        <v>4536.25</v>
      </c>
      <c r="F150" s="598"/>
      <c r="G150" s="600"/>
      <c r="I150" s="124"/>
    </row>
    <row r="151" spans="1:9">
      <c r="A151" s="594" t="s">
        <v>2560</v>
      </c>
      <c r="B151" s="606" t="s">
        <v>2312</v>
      </c>
      <c r="C151" s="598" t="s">
        <v>2444</v>
      </c>
      <c r="D151" s="599">
        <v>3975</v>
      </c>
      <c r="E151" s="599" cm="1">
        <f t="array" ref="E151">IF(COUNTIF(TBL_PF_2A[Check?],"Add")&gt;0,"Missing info",ROUND((TBL_PF_2A[[Adjustment ]]*(TBL_PF_2B[[#This Row],[Rate]])+TBL_PF_2B[[#This Row],[Rate]]),2))</f>
        <v>3776.25</v>
      </c>
      <c r="F151" s="598"/>
      <c r="G151" s="600"/>
      <c r="I151" s="124"/>
    </row>
    <row r="152" spans="1:9">
      <c r="A152" s="594" t="s">
        <v>2561</v>
      </c>
      <c r="B152" s="606" t="s">
        <v>2312</v>
      </c>
      <c r="C152" s="598" t="s">
        <v>2722</v>
      </c>
      <c r="D152" s="599">
        <v>6375</v>
      </c>
      <c r="E152" s="599" cm="1">
        <f t="array" ref="E152">IF(COUNTIF(TBL_PF_2A[Check?],"Add")&gt;0,"Missing info",ROUND((TBL_PF_2A[[Adjustment ]]*(TBL_PF_2B[[#This Row],[Rate]])+TBL_PF_2B[[#This Row],[Rate]]),2))</f>
        <v>6056.25</v>
      </c>
      <c r="F152" s="598"/>
      <c r="G152" s="600"/>
      <c r="I152" s="124"/>
    </row>
    <row r="153" spans="1:9">
      <c r="A153" s="594" t="s">
        <v>2562</v>
      </c>
      <c r="B153" s="606" t="s">
        <v>2312</v>
      </c>
      <c r="C153" s="598" t="s">
        <v>2445</v>
      </c>
      <c r="D153" s="599">
        <v>5700</v>
      </c>
      <c r="E153" s="599" cm="1">
        <f t="array" ref="E153">IF(COUNTIF(TBL_PF_2A[Check?],"Add")&gt;0,"Missing info",ROUND((TBL_PF_2A[[Adjustment ]]*(TBL_PF_2B[[#This Row],[Rate]])+TBL_PF_2B[[#This Row],[Rate]]),2))</f>
        <v>5415</v>
      </c>
      <c r="F153" s="598"/>
      <c r="G153" s="600"/>
      <c r="I153" s="124"/>
    </row>
    <row r="154" spans="1:9">
      <c r="A154" s="594" t="s">
        <v>2563</v>
      </c>
      <c r="B154" s="606" t="s">
        <v>2312</v>
      </c>
      <c r="C154" s="598" t="s">
        <v>2446</v>
      </c>
      <c r="D154" s="599">
        <v>5950</v>
      </c>
      <c r="E154" s="599" cm="1">
        <f t="array" ref="E154">IF(COUNTIF(TBL_PF_2A[Check?],"Add")&gt;0,"Missing info",ROUND((TBL_PF_2A[[Adjustment ]]*(TBL_PF_2B[[#This Row],[Rate]])+TBL_PF_2B[[#This Row],[Rate]]),2))</f>
        <v>5652.5</v>
      </c>
      <c r="F154" s="598"/>
      <c r="G154" s="600"/>
      <c r="I154" s="124"/>
    </row>
    <row r="155" spans="1:9">
      <c r="A155" s="594" t="s">
        <v>2564</v>
      </c>
      <c r="B155" s="606" t="s">
        <v>2312</v>
      </c>
      <c r="C155" s="598" t="s">
        <v>2447</v>
      </c>
      <c r="D155" s="599">
        <v>5250</v>
      </c>
      <c r="E155" s="599" cm="1">
        <f t="array" ref="E155">IF(COUNTIF(TBL_PF_2A[Check?],"Add")&gt;0,"Missing info",ROUND((TBL_PF_2A[[Adjustment ]]*(TBL_PF_2B[[#This Row],[Rate]])+TBL_PF_2B[[#This Row],[Rate]]),2))</f>
        <v>4987.5</v>
      </c>
      <c r="F155" s="598"/>
      <c r="G155" s="600"/>
      <c r="I155" s="124"/>
    </row>
    <row r="157" spans="1:9" s="126" customFormat="1" ht="25.25" customHeight="1">
      <c r="C157" s="127"/>
      <c r="D157" s="639" t="s">
        <v>499</v>
      </c>
      <c r="E157" s="128">
        <f>IF(COUNTIF(TBL_PF_2A[Check?], "Add")&gt;0, "Missing info", ROUND(SUM(TBL_PF_2B[Adjusted Rate]), 2))</f>
        <v>462293.75</v>
      </c>
      <c r="G157" s="125"/>
    </row>
  </sheetData>
  <sheetProtection algorithmName="SHA-512" hashValue="T4uTJK2TACqZCURMlXUxrfY6yp4JNmEsolF/n/GKuEIqx9SAYqTpHeovjAuph3eT+r8EfHHUk2HzfAi4J3IQqg==" saltValue="nFtT+UiYOsXP0VhNB6iLDg==" spinCount="100000" sheet="1" objects="1" scenarios="1"/>
  <phoneticPr fontId="106" type="noConversion"/>
  <conditionalFormatting sqref="A10">
    <cfRule type="expression" dxfId="55" priority="4">
      <formula>INDIRECT("E"&amp;ROW())="Shade"</formula>
    </cfRule>
    <cfRule type="expression" dxfId="54" priority="5">
      <formula>INDIRECT("F"&amp;ROW())="Done"</formula>
    </cfRule>
    <cfRule type="expression" dxfId="53" priority="6">
      <formula>INDIRECT("F"&amp;ROW())="Add"</formula>
    </cfRule>
  </conditionalFormatting>
  <conditionalFormatting sqref="C10:C11">
    <cfRule type="expression" dxfId="52" priority="7">
      <formula>INDIRECT("E"&amp;ROW())="Shade"</formula>
    </cfRule>
    <cfRule type="expression" dxfId="51" priority="8">
      <formula>INDIRECT("F"&amp;ROW())="Done"</formula>
    </cfRule>
    <cfRule type="expression" dxfId="50" priority="9">
      <formula>INDIRECT("F"&amp;ROW())="Add"</formula>
    </cfRule>
  </conditionalFormatting>
  <conditionalFormatting sqref="D1:D1048576">
    <cfRule type="expression" dxfId="49" priority="16">
      <formula>INDIRECT("F"&amp;ROW())="Shade"</formula>
    </cfRule>
    <cfRule type="expression" dxfId="48" priority="17">
      <formula>INDIRECT("G"&amp;ROW())="Done"</formula>
    </cfRule>
    <cfRule type="expression" dxfId="47" priority="18">
      <formula>INDIRECT("G"&amp;ROW())="Add"</formula>
    </cfRule>
  </conditionalFormatting>
  <conditionalFormatting sqref="E157">
    <cfRule type="expression" dxfId="46" priority="10">
      <formula>INDIRECT("E"&amp;ROW())="Shade"</formula>
    </cfRule>
    <cfRule type="expression" dxfId="45" priority="11">
      <formula>INDIRECT("F"&amp;ROW())="Done"</formula>
    </cfRule>
    <cfRule type="expression" dxfId="44" priority="12">
      <formula>INDIRECT("F"&amp;ROW())="Add"</formula>
    </cfRule>
  </conditionalFormatting>
  <dataValidations count="1">
    <dataValidation type="decimal" operator="greaterThanOrEqual" allowBlank="1" showInputMessage="1" showErrorMessage="1" sqref="D11" xr:uid="{5613168F-307E-4A0C-9F56-3296A21D0890}">
      <formula1>-1</formula1>
    </dataValidation>
  </dataValidations>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2">
    <tablePart r:id="rId2"/>
    <tablePart r:id="rId3"/>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C984D-8C97-49D9-887E-1C78CC2EFFB0}">
  <dimension ref="A1:J42"/>
  <sheetViews>
    <sheetView showGridLines="0" topLeftCell="A12" zoomScaleNormal="100" workbookViewId="0">
      <selection activeCell="M15" sqref="M15"/>
    </sheetView>
  </sheetViews>
  <sheetFormatPr defaultColWidth="9" defaultRowHeight="12.5"/>
  <cols>
    <col min="1" max="1" width="9.453125" style="119" customWidth="1"/>
    <col min="2" max="2" width="10.6328125" style="119" customWidth="1"/>
    <col min="3" max="3" width="37.6328125" style="119" customWidth="1"/>
    <col min="4" max="4" width="19.08984375" style="125" customWidth="1"/>
    <col min="5" max="6" width="17.6328125" style="119" customWidth="1"/>
    <col min="7" max="7" width="10.08984375" style="124" hidden="1" customWidth="1"/>
    <col min="8" max="10" width="9" style="119" hidden="1" customWidth="1"/>
    <col min="11" max="16384" width="9" style="119"/>
  </cols>
  <sheetData>
    <row r="1" spans="1:10" s="343"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I1" s="554" t="str">
        <f>IF(COUNTIF(G:G, "Add")&gt;0, "Incomplete", "Complete")</f>
        <v>Complete</v>
      </c>
      <c r="J1" s="554">
        <v>3</v>
      </c>
    </row>
    <row r="2" spans="1:10" s="343" customFormat="1" ht="12.5" customHeight="1">
      <c r="A2" s="54" t="str">
        <f t="array" ref="A2">CONCATENATE(INDEX(TBL_DATA_00_Doc_Merge[Supplier_Type], MATCH(1, (REF_Doc_Lot=TBL_DATA_00_Doc_Merge[Lot])*(REF_Job_No=TBL_DATA_00_Doc_Merge[Job_No]),0)), ":")</f>
        <v>Supplier:</v>
      </c>
      <c r="B2" s="54" t="str">
        <f>Response!$A$2</f>
        <v>Purdy Contracts Ltd</v>
      </c>
      <c r="C2" s="54"/>
      <c r="D2" s="342"/>
      <c r="G2" s="348"/>
    </row>
    <row r="3" spans="1:10" s="343" customFormat="1" ht="12.5" customHeight="1">
      <c r="D3" s="342"/>
      <c r="G3" s="348"/>
    </row>
    <row r="4" spans="1:10" s="27" customFormat="1" ht="17.5">
      <c r="A4" s="91" t="str">
        <f>CONCATENATE("Price submission (", TBL_DATA_00_Doc_Merge[[#This Row],[PF_or_TB?]], ")")</f>
        <v>Price submission (Price Framework)</v>
      </c>
      <c r="C4" s="131"/>
      <c r="D4" s="36"/>
      <c r="G4" s="36"/>
    </row>
    <row r="5" spans="1:10" s="1" customFormat="1" ht="14">
      <c r="D5" s="30"/>
      <c r="G5" s="15"/>
    </row>
    <row r="6" spans="1:10" s="116" customFormat="1" ht="14">
      <c r="A6" s="215" t="s">
        <v>2593</v>
      </c>
      <c r="B6" s="300" t="s">
        <v>2594</v>
      </c>
      <c r="C6" s="302"/>
      <c r="D6" s="303"/>
      <c r="G6" s="129"/>
    </row>
    <row r="7" spans="1:10" s="116" customFormat="1" ht="14">
      <c r="A7" s="215"/>
      <c r="B7" s="300"/>
      <c r="C7" s="302"/>
      <c r="D7" s="303"/>
      <c r="G7" s="129"/>
    </row>
    <row r="8" spans="1:10" s="116" customFormat="1" ht="14">
      <c r="A8" s="302" t="s">
        <v>2310</v>
      </c>
      <c r="B8" s="300"/>
      <c r="D8" s="303"/>
      <c r="G8" s="129"/>
    </row>
    <row r="9" spans="1:10" s="116" customFormat="1" ht="14">
      <c r="A9" s="215"/>
      <c r="B9" s="300"/>
      <c r="C9" s="302"/>
      <c r="D9" s="303"/>
      <c r="G9" s="129"/>
    </row>
    <row r="10" spans="1:10" s="116" customFormat="1" ht="14">
      <c r="A10" s="632" t="s">
        <v>90</v>
      </c>
      <c r="B10" s="625" t="s">
        <v>2333</v>
      </c>
      <c r="C10" s="632" t="s">
        <v>91</v>
      </c>
      <c r="D10" s="628" t="s">
        <v>2334</v>
      </c>
      <c r="E10" s="638" t="s">
        <v>2309</v>
      </c>
      <c r="F10" s="638" t="s">
        <v>488</v>
      </c>
      <c r="G10" s="630" t="s">
        <v>493</v>
      </c>
      <c r="H10" s="129"/>
    </row>
    <row r="11" spans="1:10" s="116" customFormat="1" ht="50">
      <c r="A11" s="635" t="s">
        <v>2257</v>
      </c>
      <c r="B11" s="636" t="s">
        <v>2258</v>
      </c>
      <c r="C11" s="633" t="s">
        <v>2677</v>
      </c>
      <c r="D11" s="634">
        <v>-0.05</v>
      </c>
      <c r="E11" s="637"/>
      <c r="F11" s="637"/>
      <c r="G11" s="627" t="str">
        <f>IF(TBL_PF_3A[[#This Row],[Shade?]]&lt;&gt;"", "N/A", IF(TBL_PF_3A[[#This Row],[Adjustment ]]&lt;&gt;"", "Done", "Add"))</f>
        <v>Done</v>
      </c>
      <c r="H11" s="129"/>
    </row>
    <row r="12" spans="1:10" s="116" customFormat="1" ht="50">
      <c r="A12" s="635" t="s">
        <v>2295</v>
      </c>
      <c r="B12" s="636" t="s">
        <v>2258</v>
      </c>
      <c r="C12" s="645" t="s">
        <v>2678</v>
      </c>
      <c r="D12" s="646">
        <v>-0.05</v>
      </c>
      <c r="E12" s="642"/>
      <c r="F12" s="642"/>
      <c r="G12" s="643" t="str">
        <f>IF(TBL_PF_3A[[#This Row],[Shade?]]&lt;&gt;"", "N/A", IF(TBL_PF_3A[[#This Row],[Adjustment ]]&lt;&gt;"", "Done", "Add"))</f>
        <v>Done</v>
      </c>
      <c r="H12" s="129"/>
    </row>
    <row r="13" spans="1:10" s="116" customFormat="1" ht="14">
      <c r="A13" s="215"/>
      <c r="B13" s="300"/>
      <c r="C13" s="302"/>
      <c r="D13" s="303"/>
      <c r="G13" s="129"/>
    </row>
    <row r="14" spans="1:10" s="116" customFormat="1" ht="14">
      <c r="A14" s="215" t="s">
        <v>2311</v>
      </c>
      <c r="B14" s="300"/>
      <c r="D14" s="303"/>
      <c r="G14" s="129"/>
    </row>
    <row r="16" spans="1:10" ht="26">
      <c r="A16" s="559" t="s">
        <v>90</v>
      </c>
      <c r="B16" s="561" t="s">
        <v>503</v>
      </c>
      <c r="C16" s="631" t="s">
        <v>91</v>
      </c>
      <c r="D16" s="562" t="s">
        <v>492</v>
      </c>
      <c r="E16" s="591" t="s">
        <v>2567</v>
      </c>
      <c r="F16" s="591" t="s">
        <v>2566</v>
      </c>
      <c r="G16" s="560" t="s">
        <v>488</v>
      </c>
      <c r="H16" s="563" t="s">
        <v>493</v>
      </c>
      <c r="J16" s="124"/>
    </row>
    <row r="17" spans="1:10">
      <c r="A17" s="594" t="s">
        <v>2296</v>
      </c>
      <c r="B17" s="606" t="s">
        <v>2312</v>
      </c>
      <c r="C17" s="565" t="s">
        <v>2569</v>
      </c>
      <c r="D17" s="130">
        <v>2950</v>
      </c>
      <c r="E17" s="130">
        <f>IF(COUNTIF($G$11,"Add")&gt;0,"Missing info",ROUND((REP_ELEC_ADJUSTMENT*TBL_PF_3B[[#This Row],[Rate]]+TBL_PF_3B[[#This Row],[Rate]]),2))</f>
        <v>2802.5</v>
      </c>
      <c r="F17" s="130">
        <f>IF(COUNTIF($G$12,"Add")&gt;0,"Missing info",ROUND((VOID_ELEC_ADJUSTMENT*TBL_PF_3B[[#This Row],[Rate]]+TBL_PF_3B[[#This Row],[Rate]]),2))</f>
        <v>2802.5</v>
      </c>
      <c r="G17" s="565"/>
      <c r="H17" s="566"/>
      <c r="J17" s="124"/>
    </row>
    <row r="18" spans="1:10">
      <c r="A18" s="594" t="s">
        <v>2297</v>
      </c>
      <c r="B18" s="606" t="s">
        <v>2312</v>
      </c>
      <c r="C18" s="598" t="s">
        <v>2570</v>
      </c>
      <c r="D18" s="599">
        <v>1600</v>
      </c>
      <c r="E18" s="599">
        <f>IF(COUNTIF($G$11,"Add")&gt;0,"Missing info",ROUND((REP_ELEC_ADJUSTMENT*TBL_PF_3B[[#This Row],[Rate]]+TBL_PF_3B[[#This Row],[Rate]]),2))</f>
        <v>1520</v>
      </c>
      <c r="F18" s="599">
        <f>IF(COUNTIF($G$12,"Add")&gt;0,"Missing info",ROUND((VOID_ELEC_ADJUSTMENT*TBL_PF_3B[[#This Row],[Rate]]+TBL_PF_3B[[#This Row],[Rate]]),2))</f>
        <v>1520</v>
      </c>
      <c r="G18" s="598"/>
      <c r="H18" s="600"/>
      <c r="J18" s="124"/>
    </row>
    <row r="19" spans="1:10">
      <c r="A19" s="594" t="s">
        <v>2298</v>
      </c>
      <c r="B19" s="606" t="s">
        <v>2312</v>
      </c>
      <c r="C19" s="598" t="s">
        <v>2571</v>
      </c>
      <c r="D19" s="599">
        <v>3100</v>
      </c>
      <c r="E19" s="599">
        <f>IF(COUNTIF($G$11,"Add")&gt;0,"Missing info",ROUND((REP_ELEC_ADJUSTMENT*TBL_PF_3B[[#This Row],[Rate]]+TBL_PF_3B[[#This Row],[Rate]]),2))</f>
        <v>2945</v>
      </c>
      <c r="F19" s="599">
        <f>IF(COUNTIF($G$12,"Add")&gt;0,"Missing info",ROUND((VOID_ELEC_ADJUSTMENT*TBL_PF_3B[[#This Row],[Rate]]+TBL_PF_3B[[#This Row],[Rate]]),2))</f>
        <v>2945</v>
      </c>
      <c r="G19" s="598"/>
      <c r="H19" s="600"/>
      <c r="J19" s="124"/>
    </row>
    <row r="20" spans="1:10">
      <c r="A20" s="594" t="s">
        <v>2299</v>
      </c>
      <c r="B20" s="606" t="s">
        <v>2312</v>
      </c>
      <c r="C20" s="598" t="s">
        <v>2572</v>
      </c>
      <c r="D20" s="599">
        <v>1750</v>
      </c>
      <c r="E20" s="599">
        <f>IF(COUNTIF($G$11,"Add")&gt;0,"Missing info",ROUND((REP_ELEC_ADJUSTMENT*TBL_PF_3B[[#This Row],[Rate]]+TBL_PF_3B[[#This Row],[Rate]]),2))</f>
        <v>1662.5</v>
      </c>
      <c r="F20" s="599">
        <f>IF(COUNTIF($G$12,"Add")&gt;0,"Missing info",ROUND((VOID_ELEC_ADJUSTMENT*TBL_PF_3B[[#This Row],[Rate]]+TBL_PF_3B[[#This Row],[Rate]]),2))</f>
        <v>1662.5</v>
      </c>
      <c r="G20" s="598"/>
      <c r="H20" s="600"/>
      <c r="J20" s="124"/>
    </row>
    <row r="21" spans="1:10">
      <c r="A21" s="594" t="s">
        <v>2300</v>
      </c>
      <c r="B21" s="606" t="s">
        <v>2312</v>
      </c>
      <c r="C21" s="598" t="s">
        <v>2573</v>
      </c>
      <c r="D21" s="599">
        <v>3300</v>
      </c>
      <c r="E21" s="599">
        <f>IF(COUNTIF($G$11,"Add")&gt;0,"Missing info",ROUND((REP_ELEC_ADJUSTMENT*TBL_PF_3B[[#This Row],[Rate]]+TBL_PF_3B[[#This Row],[Rate]]),2))</f>
        <v>3135</v>
      </c>
      <c r="F21" s="599">
        <f>IF(COUNTIF($G$12,"Add")&gt;0,"Missing info",ROUND((VOID_ELEC_ADJUSTMENT*TBL_PF_3B[[#This Row],[Rate]]+TBL_PF_3B[[#This Row],[Rate]]),2))</f>
        <v>3135</v>
      </c>
      <c r="G21" s="598"/>
      <c r="H21" s="600"/>
      <c r="J21" s="124"/>
    </row>
    <row r="22" spans="1:10">
      <c r="A22" s="594" t="s">
        <v>2301</v>
      </c>
      <c r="B22" s="606" t="s">
        <v>2312</v>
      </c>
      <c r="C22" s="598" t="s">
        <v>2574</v>
      </c>
      <c r="D22" s="599">
        <v>1900</v>
      </c>
      <c r="E22" s="599">
        <f>IF(COUNTIF($G$11,"Add")&gt;0,"Missing info",ROUND((REP_ELEC_ADJUSTMENT*TBL_PF_3B[[#This Row],[Rate]]+TBL_PF_3B[[#This Row],[Rate]]),2))</f>
        <v>1805</v>
      </c>
      <c r="F22" s="599">
        <f>IF(COUNTIF($G$12,"Add")&gt;0,"Missing info",ROUND((VOID_ELEC_ADJUSTMENT*TBL_PF_3B[[#This Row],[Rate]]+TBL_PF_3B[[#This Row],[Rate]]),2))</f>
        <v>1805</v>
      </c>
      <c r="G22" s="598"/>
      <c r="H22" s="600"/>
      <c r="J22" s="124"/>
    </row>
    <row r="23" spans="1:10">
      <c r="A23" s="594" t="s">
        <v>2302</v>
      </c>
      <c r="B23" s="606" t="s">
        <v>2312</v>
      </c>
      <c r="C23" s="598" t="s">
        <v>2575</v>
      </c>
      <c r="D23" s="599">
        <v>3400</v>
      </c>
      <c r="E23" s="599">
        <f>IF(COUNTIF($G$11,"Add")&gt;0,"Missing info",ROUND((REP_ELEC_ADJUSTMENT*TBL_PF_3B[[#This Row],[Rate]]+TBL_PF_3B[[#This Row],[Rate]]),2))</f>
        <v>3230</v>
      </c>
      <c r="F23" s="599">
        <f>IF(COUNTIF($G$12,"Add")&gt;0,"Missing info",ROUND((VOID_ELEC_ADJUSTMENT*TBL_PF_3B[[#This Row],[Rate]]+TBL_PF_3B[[#This Row],[Rate]]),2))</f>
        <v>3230</v>
      </c>
      <c r="G23" s="598"/>
      <c r="H23" s="600"/>
      <c r="J23" s="124"/>
    </row>
    <row r="24" spans="1:10">
      <c r="A24" s="594" t="s">
        <v>2303</v>
      </c>
      <c r="B24" s="606" t="s">
        <v>2312</v>
      </c>
      <c r="C24" s="598" t="s">
        <v>2576</v>
      </c>
      <c r="D24" s="599">
        <v>2000</v>
      </c>
      <c r="E24" s="599">
        <f>IF(COUNTIF($G$11,"Add")&gt;0,"Missing info",ROUND((REP_ELEC_ADJUSTMENT*TBL_PF_3B[[#This Row],[Rate]]+TBL_PF_3B[[#This Row],[Rate]]),2))</f>
        <v>1900</v>
      </c>
      <c r="F24" s="599">
        <f>IF(COUNTIF($G$12,"Add")&gt;0,"Missing info",ROUND((VOID_ELEC_ADJUSTMENT*TBL_PF_3B[[#This Row],[Rate]]+TBL_PF_3B[[#This Row],[Rate]]),2))</f>
        <v>1900</v>
      </c>
      <c r="G24" s="598"/>
      <c r="H24" s="600"/>
      <c r="J24" s="124"/>
    </row>
    <row r="25" spans="1:10">
      <c r="A25" s="594" t="s">
        <v>2304</v>
      </c>
      <c r="B25" s="606" t="s">
        <v>2312</v>
      </c>
      <c r="C25" s="598" t="s">
        <v>2577</v>
      </c>
      <c r="D25" s="599">
        <v>3600</v>
      </c>
      <c r="E25" s="599">
        <f>IF(COUNTIF($G$11,"Add")&gt;0,"Missing info",ROUND((REP_ELEC_ADJUSTMENT*TBL_PF_3B[[#This Row],[Rate]]+TBL_PF_3B[[#This Row],[Rate]]),2))</f>
        <v>3420</v>
      </c>
      <c r="F25" s="599">
        <f>IF(COUNTIF($G$12,"Add")&gt;0,"Missing info",ROUND((VOID_ELEC_ADJUSTMENT*TBL_PF_3B[[#This Row],[Rate]]+TBL_PF_3B[[#This Row],[Rate]]),2))</f>
        <v>3420</v>
      </c>
      <c r="G25" s="598"/>
      <c r="H25" s="600"/>
      <c r="J25" s="124"/>
    </row>
    <row r="26" spans="1:10">
      <c r="A26" s="594" t="s">
        <v>2305</v>
      </c>
      <c r="B26" s="606" t="s">
        <v>2312</v>
      </c>
      <c r="C26" s="598" t="s">
        <v>2578</v>
      </c>
      <c r="D26" s="599">
        <v>2200</v>
      </c>
      <c r="E26" s="599">
        <f>IF(COUNTIF($G$11,"Add")&gt;0,"Missing info",ROUND((REP_ELEC_ADJUSTMENT*TBL_PF_3B[[#This Row],[Rate]]+TBL_PF_3B[[#This Row],[Rate]]),2))</f>
        <v>2090</v>
      </c>
      <c r="F26" s="599">
        <f>IF(COUNTIF($G$12,"Add")&gt;0,"Missing info",ROUND((VOID_ELEC_ADJUSTMENT*TBL_PF_3B[[#This Row],[Rate]]+TBL_PF_3B[[#This Row],[Rate]]),2))</f>
        <v>2090</v>
      </c>
      <c r="G26" s="598"/>
      <c r="H26" s="600"/>
      <c r="J26" s="124"/>
    </row>
    <row r="27" spans="1:10">
      <c r="A27" s="594" t="s">
        <v>2306</v>
      </c>
      <c r="B27" s="606" t="s">
        <v>2312</v>
      </c>
      <c r="C27" s="598" t="s">
        <v>2579</v>
      </c>
      <c r="D27" s="599">
        <v>3500</v>
      </c>
      <c r="E27" s="599">
        <f>IF(COUNTIF($G$11,"Add")&gt;0,"Missing info",ROUND((REP_ELEC_ADJUSTMENT*TBL_PF_3B[[#This Row],[Rate]]+TBL_PF_3B[[#This Row],[Rate]]),2))</f>
        <v>3325</v>
      </c>
      <c r="F27" s="599">
        <f>IF(COUNTIF($G$12,"Add")&gt;0,"Missing info",ROUND((VOID_ELEC_ADJUSTMENT*TBL_PF_3B[[#This Row],[Rate]]+TBL_PF_3B[[#This Row],[Rate]]),2))</f>
        <v>3325</v>
      </c>
      <c r="G27" s="598"/>
      <c r="H27" s="600"/>
      <c r="J27" s="124"/>
    </row>
    <row r="28" spans="1:10">
      <c r="A28" s="594" t="s">
        <v>2307</v>
      </c>
      <c r="B28" s="606" t="s">
        <v>2312</v>
      </c>
      <c r="C28" s="598" t="s">
        <v>2580</v>
      </c>
      <c r="D28" s="599">
        <v>2100</v>
      </c>
      <c r="E28" s="599">
        <f>IF(COUNTIF($G$11,"Add")&gt;0,"Missing info",ROUND((REP_ELEC_ADJUSTMENT*TBL_PF_3B[[#This Row],[Rate]]+TBL_PF_3B[[#This Row],[Rate]]),2))</f>
        <v>1995</v>
      </c>
      <c r="F28" s="599">
        <f>IF(COUNTIF($G$12,"Add")&gt;0,"Missing info",ROUND((VOID_ELEC_ADJUSTMENT*TBL_PF_3B[[#This Row],[Rate]]+TBL_PF_3B[[#This Row],[Rate]]),2))</f>
        <v>1995</v>
      </c>
      <c r="G28" s="598"/>
      <c r="H28" s="600"/>
      <c r="J28" s="124"/>
    </row>
    <row r="29" spans="1:10">
      <c r="A29" s="594" t="s">
        <v>2610</v>
      </c>
      <c r="B29" s="606" t="s">
        <v>2312</v>
      </c>
      <c r="C29" s="598" t="s">
        <v>2581</v>
      </c>
      <c r="D29" s="599">
        <v>3600</v>
      </c>
      <c r="E29" s="599">
        <f>IF(COUNTIF($G$11,"Add")&gt;0,"Missing info",ROUND((REP_ELEC_ADJUSTMENT*TBL_PF_3B[[#This Row],[Rate]]+TBL_PF_3B[[#This Row],[Rate]]),2))</f>
        <v>3420</v>
      </c>
      <c r="F29" s="599">
        <f>IF(COUNTIF($G$12,"Add")&gt;0,"Missing info",ROUND((VOID_ELEC_ADJUSTMENT*TBL_PF_3B[[#This Row],[Rate]]+TBL_PF_3B[[#This Row],[Rate]]),2))</f>
        <v>3420</v>
      </c>
      <c r="G29" s="598"/>
      <c r="H29" s="600"/>
      <c r="J29" s="124"/>
    </row>
    <row r="30" spans="1:10">
      <c r="A30" s="594" t="s">
        <v>2611</v>
      </c>
      <c r="B30" s="606" t="s">
        <v>2312</v>
      </c>
      <c r="C30" s="598" t="s">
        <v>2582</v>
      </c>
      <c r="D30" s="599">
        <v>2200</v>
      </c>
      <c r="E30" s="599">
        <f>IF(COUNTIF($G$11,"Add")&gt;0,"Missing info",ROUND((REP_ELEC_ADJUSTMENT*TBL_PF_3B[[#This Row],[Rate]]+TBL_PF_3B[[#This Row],[Rate]]),2))</f>
        <v>2090</v>
      </c>
      <c r="F30" s="599">
        <f>IF(COUNTIF($G$12,"Add")&gt;0,"Missing info",ROUND((VOID_ELEC_ADJUSTMENT*TBL_PF_3B[[#This Row],[Rate]]+TBL_PF_3B[[#This Row],[Rate]]),2))</f>
        <v>2090</v>
      </c>
      <c r="G30" s="598"/>
      <c r="H30" s="600"/>
      <c r="J30" s="124"/>
    </row>
    <row r="31" spans="1:10">
      <c r="A31" s="594" t="s">
        <v>2612</v>
      </c>
      <c r="B31" s="606" t="s">
        <v>2312</v>
      </c>
      <c r="C31" s="598" t="s">
        <v>2583</v>
      </c>
      <c r="D31" s="599">
        <v>3800</v>
      </c>
      <c r="E31" s="599">
        <f>IF(COUNTIF($G$11,"Add")&gt;0,"Missing info",ROUND((REP_ELEC_ADJUSTMENT*TBL_PF_3B[[#This Row],[Rate]]+TBL_PF_3B[[#This Row],[Rate]]),2))</f>
        <v>3610</v>
      </c>
      <c r="F31" s="599">
        <f>IF(COUNTIF($G$12,"Add")&gt;0,"Missing info",ROUND((VOID_ELEC_ADJUSTMENT*TBL_PF_3B[[#This Row],[Rate]]+TBL_PF_3B[[#This Row],[Rate]]),2))</f>
        <v>3610</v>
      </c>
      <c r="G31" s="598"/>
      <c r="H31" s="600"/>
      <c r="J31" s="124"/>
    </row>
    <row r="32" spans="1:10">
      <c r="A32" s="594" t="s">
        <v>2613</v>
      </c>
      <c r="B32" s="606" t="s">
        <v>2312</v>
      </c>
      <c r="C32" s="598" t="s">
        <v>2584</v>
      </c>
      <c r="D32" s="599">
        <v>2450</v>
      </c>
      <c r="E32" s="599">
        <f>IF(COUNTIF($G$11,"Add")&gt;0,"Missing info",ROUND((REP_ELEC_ADJUSTMENT*TBL_PF_3B[[#This Row],[Rate]]+TBL_PF_3B[[#This Row],[Rate]]),2))</f>
        <v>2327.5</v>
      </c>
      <c r="F32" s="599">
        <f>IF(COUNTIF($G$12,"Add")&gt;0,"Missing info",ROUND((VOID_ELEC_ADJUSTMENT*TBL_PF_3B[[#This Row],[Rate]]+TBL_PF_3B[[#This Row],[Rate]]),2))</f>
        <v>2327.5</v>
      </c>
      <c r="G32" s="598"/>
      <c r="H32" s="600"/>
      <c r="J32" s="124"/>
    </row>
    <row r="33" spans="1:10">
      <c r="A33" s="594" t="s">
        <v>2614</v>
      </c>
      <c r="B33" s="606" t="s">
        <v>2312</v>
      </c>
      <c r="C33" s="598" t="s">
        <v>2585</v>
      </c>
      <c r="D33" s="599">
        <v>4400</v>
      </c>
      <c r="E33" s="599">
        <f>IF(COUNTIF($G$11,"Add")&gt;0,"Missing info",ROUND((REP_ELEC_ADJUSTMENT*TBL_PF_3B[[#This Row],[Rate]]+TBL_PF_3B[[#This Row],[Rate]]),2))</f>
        <v>4180</v>
      </c>
      <c r="F33" s="599">
        <f>IF(COUNTIF($G$12,"Add")&gt;0,"Missing info",ROUND((VOID_ELEC_ADJUSTMENT*TBL_PF_3B[[#This Row],[Rate]]+TBL_PF_3B[[#This Row],[Rate]]),2))</f>
        <v>4180</v>
      </c>
      <c r="G33" s="598"/>
      <c r="H33" s="600"/>
      <c r="J33" s="124"/>
    </row>
    <row r="34" spans="1:10">
      <c r="A34" s="594" t="s">
        <v>2615</v>
      </c>
      <c r="B34" s="606" t="s">
        <v>2312</v>
      </c>
      <c r="C34" s="598" t="s">
        <v>2586</v>
      </c>
      <c r="D34" s="599">
        <v>3000</v>
      </c>
      <c r="E34" s="599">
        <f>IF(COUNTIF($G$11,"Add")&gt;0,"Missing info",ROUND((REP_ELEC_ADJUSTMENT*TBL_PF_3B[[#This Row],[Rate]]+TBL_PF_3B[[#This Row],[Rate]]),2))</f>
        <v>2850</v>
      </c>
      <c r="F34" s="599">
        <f>IF(COUNTIF($G$12,"Add")&gt;0,"Missing info",ROUND((VOID_ELEC_ADJUSTMENT*TBL_PF_3B[[#This Row],[Rate]]+TBL_PF_3B[[#This Row],[Rate]]),2))</f>
        <v>2850</v>
      </c>
      <c r="G34" s="598"/>
      <c r="H34" s="600"/>
      <c r="J34" s="124"/>
    </row>
    <row r="35" spans="1:10">
      <c r="A35" s="594" t="s">
        <v>2616</v>
      </c>
      <c r="B35" s="606" t="s">
        <v>2312</v>
      </c>
      <c r="C35" s="598" t="s">
        <v>2587</v>
      </c>
      <c r="D35" s="599">
        <v>4500</v>
      </c>
      <c r="E35" s="599">
        <f>IF(COUNTIF($G$11,"Add")&gt;0,"Missing info",ROUND((REP_ELEC_ADJUSTMENT*TBL_PF_3B[[#This Row],[Rate]]+TBL_PF_3B[[#This Row],[Rate]]),2))</f>
        <v>4275</v>
      </c>
      <c r="F35" s="599">
        <f>IF(COUNTIF($G$12,"Add")&gt;0,"Missing info",ROUND((VOID_ELEC_ADJUSTMENT*TBL_PF_3B[[#This Row],[Rate]]+TBL_PF_3B[[#This Row],[Rate]]),2))</f>
        <v>4275</v>
      </c>
      <c r="G35" s="598"/>
      <c r="H35" s="600"/>
      <c r="J35" s="124"/>
    </row>
    <row r="36" spans="1:10">
      <c r="A36" s="594" t="s">
        <v>2617</v>
      </c>
      <c r="B36" s="606" t="s">
        <v>2312</v>
      </c>
      <c r="C36" s="598" t="s">
        <v>2588</v>
      </c>
      <c r="D36" s="599">
        <v>3100</v>
      </c>
      <c r="E36" s="599">
        <f>IF(COUNTIF($G$11,"Add")&gt;0,"Missing info",ROUND((REP_ELEC_ADJUSTMENT*TBL_PF_3B[[#This Row],[Rate]]+TBL_PF_3B[[#This Row],[Rate]]),2))</f>
        <v>2945</v>
      </c>
      <c r="F36" s="599">
        <f>IF(COUNTIF($G$12,"Add")&gt;0,"Missing info",ROUND((VOID_ELEC_ADJUSTMENT*TBL_PF_3B[[#This Row],[Rate]]+TBL_PF_3B[[#This Row],[Rate]]),2))</f>
        <v>2945</v>
      </c>
      <c r="G36" s="598"/>
      <c r="H36" s="600"/>
      <c r="J36" s="124"/>
    </row>
    <row r="37" spans="1:10">
      <c r="A37" s="594" t="s">
        <v>2618</v>
      </c>
      <c r="B37" s="606" t="s">
        <v>2312</v>
      </c>
      <c r="C37" s="598" t="s">
        <v>2589</v>
      </c>
      <c r="D37" s="599">
        <v>4100</v>
      </c>
      <c r="E37" s="599">
        <f>IF(COUNTIF($G$11,"Add")&gt;0,"Missing info",ROUND((REP_ELEC_ADJUSTMENT*TBL_PF_3B[[#This Row],[Rate]]+TBL_PF_3B[[#This Row],[Rate]]),2))</f>
        <v>3895</v>
      </c>
      <c r="F37" s="599">
        <f>IF(COUNTIF($G$12,"Add")&gt;0,"Missing info",ROUND((VOID_ELEC_ADJUSTMENT*TBL_PF_3B[[#This Row],[Rate]]+TBL_PF_3B[[#This Row],[Rate]]),2))</f>
        <v>3895</v>
      </c>
      <c r="G37" s="598"/>
      <c r="H37" s="600"/>
      <c r="J37" s="124"/>
    </row>
    <row r="38" spans="1:10">
      <c r="A38" s="594" t="s">
        <v>2619</v>
      </c>
      <c r="B38" s="606" t="s">
        <v>2312</v>
      </c>
      <c r="C38" s="598" t="s">
        <v>2590</v>
      </c>
      <c r="D38" s="599">
        <v>2700</v>
      </c>
      <c r="E38" s="599">
        <f>IF(COUNTIF($G$11,"Add")&gt;0,"Missing info",ROUND((REP_ELEC_ADJUSTMENT*TBL_PF_3B[[#This Row],[Rate]]+TBL_PF_3B[[#This Row],[Rate]]),2))</f>
        <v>2565</v>
      </c>
      <c r="F38" s="599">
        <f>IF(COUNTIF($G$12,"Add")&gt;0,"Missing info",ROUND((VOID_ELEC_ADJUSTMENT*TBL_PF_3B[[#This Row],[Rate]]+TBL_PF_3B[[#This Row],[Rate]]),2))</f>
        <v>2565</v>
      </c>
      <c r="G38" s="598"/>
      <c r="H38" s="600"/>
      <c r="J38" s="124"/>
    </row>
    <row r="39" spans="1:10">
      <c r="A39" s="594" t="s">
        <v>2620</v>
      </c>
      <c r="B39" s="606" t="s">
        <v>2312</v>
      </c>
      <c r="C39" s="598" t="s">
        <v>2591</v>
      </c>
      <c r="D39" s="599">
        <v>4400</v>
      </c>
      <c r="E39" s="599">
        <f>IF(COUNTIF($G$11,"Add")&gt;0,"Missing info",ROUND((REP_ELEC_ADJUSTMENT*TBL_PF_3B[[#This Row],[Rate]]+TBL_PF_3B[[#This Row],[Rate]]),2))</f>
        <v>4180</v>
      </c>
      <c r="F39" s="599">
        <f>IF(COUNTIF($G$12,"Add")&gt;0,"Missing info",ROUND((VOID_ELEC_ADJUSTMENT*TBL_PF_3B[[#This Row],[Rate]]+TBL_PF_3B[[#This Row],[Rate]]),2))</f>
        <v>4180</v>
      </c>
      <c r="G39" s="598"/>
      <c r="H39" s="600"/>
      <c r="J39" s="124"/>
    </row>
    <row r="40" spans="1:10">
      <c r="A40" s="594" t="s">
        <v>2621</v>
      </c>
      <c r="B40" s="606" t="s">
        <v>2312</v>
      </c>
      <c r="C40" s="598" t="s">
        <v>2592</v>
      </c>
      <c r="D40" s="599">
        <v>3000</v>
      </c>
      <c r="E40" s="599">
        <f>IF(COUNTIF($G$11,"Add")&gt;0,"Missing info",ROUND((REP_ELEC_ADJUSTMENT*TBL_PF_3B[[#This Row],[Rate]]+TBL_PF_3B[[#This Row],[Rate]]),2))</f>
        <v>2850</v>
      </c>
      <c r="F40" s="599">
        <f>IF(COUNTIF($G$12,"Add")&gt;0,"Missing info",ROUND((VOID_ELEC_ADJUSTMENT*TBL_PF_3B[[#This Row],[Rate]]+TBL_PF_3B[[#This Row],[Rate]]),2))</f>
        <v>2850</v>
      </c>
      <c r="G40" s="598"/>
      <c r="H40" s="600"/>
      <c r="J40" s="124"/>
    </row>
    <row r="42" spans="1:10" s="126" customFormat="1" ht="25.25" customHeight="1">
      <c r="C42" s="127"/>
      <c r="D42" s="647" t="s">
        <v>2568</v>
      </c>
      <c r="E42" s="128">
        <f>IF(COUNTIF($G$11, "Add")&gt;0, "Missing info", ROUND(SUM(TBL_PF_3B[Repairs Adjusted Rate]), 2))</f>
        <v>69017.5</v>
      </c>
      <c r="F42" s="128">
        <f>IF(COUNTIF($G$12, "Add")&gt;0, "Missing info", ROUND(SUM(TBL_PF_3B[Voids Adjusted Rate]), 2))</f>
        <v>69017.5</v>
      </c>
      <c r="G42" s="125"/>
    </row>
  </sheetData>
  <sheetProtection algorithmName="SHA-512" hashValue="zaryhrTbB5sUPt6MdkBJmTmTd/K+c1pv3JWp2IS66mnKno2IhAQHGmTrqjhl/IkW8h1jWUVW1iQK3I1+ZWrEQA==" saltValue="H0xJA5SCfakd3t+8iASGlA==" spinCount="100000" sheet="1" objects="1" scenarios="1"/>
  <phoneticPr fontId="106" type="noConversion"/>
  <conditionalFormatting sqref="A10">
    <cfRule type="expression" dxfId="43" priority="1">
      <formula>INDIRECT("E"&amp;ROW())="Shade"</formula>
    </cfRule>
    <cfRule type="expression" dxfId="42" priority="2">
      <formula>INDIRECT("F"&amp;ROW())="Done"</formula>
    </cfRule>
    <cfRule type="expression" dxfId="41" priority="3">
      <formula>INDIRECT("F"&amp;ROW())="Add"</formula>
    </cfRule>
  </conditionalFormatting>
  <conditionalFormatting sqref="C10:C12">
    <cfRule type="expression" dxfId="40" priority="4">
      <formula>INDIRECT("E"&amp;ROW())="Shade"</formula>
    </cfRule>
    <cfRule type="expression" dxfId="39" priority="5">
      <formula>INDIRECT("F"&amp;ROW())="Done"</formula>
    </cfRule>
    <cfRule type="expression" dxfId="38" priority="6">
      <formula>INDIRECT("F"&amp;ROW())="Add"</formula>
    </cfRule>
  </conditionalFormatting>
  <conditionalFormatting sqref="D1:D1048576">
    <cfRule type="expression" dxfId="37" priority="10">
      <formula>INDIRECT("F"&amp;ROW())="Shade"</formula>
    </cfRule>
    <cfRule type="expression" dxfId="36" priority="11">
      <formula>INDIRECT("G"&amp;ROW())="Done"</formula>
    </cfRule>
    <cfRule type="expression" dxfId="35" priority="12">
      <formula>INDIRECT("G"&amp;ROW())="Add"</formula>
    </cfRule>
  </conditionalFormatting>
  <conditionalFormatting sqref="E42:F42">
    <cfRule type="expression" dxfId="34" priority="7">
      <formula>INDIRECT("E"&amp;ROW())="Shade"</formula>
    </cfRule>
    <cfRule type="expression" dxfId="33" priority="8">
      <formula>INDIRECT("F"&amp;ROW())="Done"</formula>
    </cfRule>
    <cfRule type="expression" dxfId="32" priority="9">
      <formula>INDIRECT("F"&amp;ROW())="Add"</formula>
    </cfRule>
  </conditionalFormatting>
  <dataValidations count="1">
    <dataValidation type="decimal" operator="greaterThanOrEqual" allowBlank="1" showInputMessage="1" showErrorMessage="1" sqref="D11:D12" xr:uid="{9EE96871-A1BC-4801-81FD-C18CF7F8A2BD}">
      <formula1>-1</formula1>
    </dataValidation>
  </dataValidations>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2">
    <tablePart r:id="rId2"/>
    <tablePart r:id="rId3"/>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B141B-FC5E-49D1-93F3-51000B6C3BC6}">
  <dimension ref="A1:J30"/>
  <sheetViews>
    <sheetView showGridLines="0" topLeftCell="A12" zoomScaleNormal="100" workbookViewId="0">
      <selection activeCell="O17" sqref="O17"/>
    </sheetView>
  </sheetViews>
  <sheetFormatPr defaultColWidth="9" defaultRowHeight="12.5"/>
  <cols>
    <col min="1" max="1" width="9.453125" style="119" customWidth="1"/>
    <col min="2" max="2" width="10.6328125" style="119" customWidth="1"/>
    <col min="3" max="3" width="37.6328125" style="119" customWidth="1"/>
    <col min="4" max="4" width="19.08984375" style="125" customWidth="1"/>
    <col min="5" max="6" width="17.6328125" style="119" customWidth="1"/>
    <col min="7" max="7" width="10.08984375" style="124" hidden="1" customWidth="1"/>
    <col min="8" max="10" width="9" style="119" hidden="1" customWidth="1"/>
    <col min="11" max="16384" width="9" style="119"/>
  </cols>
  <sheetData>
    <row r="1" spans="1:10" s="343"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I1" s="554" t="str">
        <f>IF(COUNTIF(G:G, "Add")&gt;0, "Incomplete", "Complete")</f>
        <v>Complete</v>
      </c>
      <c r="J1" s="554">
        <v>4</v>
      </c>
    </row>
    <row r="2" spans="1:10" s="343" customFormat="1" ht="12.5" customHeight="1">
      <c r="A2" s="54" t="str">
        <f t="array" ref="A2">CONCATENATE(INDEX(TBL_DATA_00_Doc_Merge[Supplier_Type], MATCH(1, (REF_Doc_Lot=TBL_DATA_00_Doc_Merge[Lot])*(REF_Job_No=TBL_DATA_00_Doc_Merge[Job_No]),0)), ":")</f>
        <v>Supplier:</v>
      </c>
      <c r="B2" s="54" t="str">
        <f>Response!$A$2</f>
        <v>Purdy Contracts Ltd</v>
      </c>
      <c r="C2" s="54"/>
      <c r="D2" s="342"/>
      <c r="G2" s="348"/>
    </row>
    <row r="3" spans="1:10" s="343" customFormat="1" ht="12.5" customHeight="1">
      <c r="D3" s="342"/>
      <c r="G3" s="348"/>
    </row>
    <row r="4" spans="1:10" s="27" customFormat="1" ht="17.5">
      <c r="A4" s="91" t="str">
        <f>CONCATENATE("Price submission (", TBL_DATA_00_Doc_Merge[[#This Row],[PF_or_TB?]], ")")</f>
        <v>Price submission (Price Framework)</v>
      </c>
      <c r="C4" s="131"/>
      <c r="D4" s="36"/>
      <c r="G4" s="36"/>
    </row>
    <row r="5" spans="1:10" s="1" customFormat="1" ht="14">
      <c r="D5" s="30"/>
      <c r="G5" s="15"/>
    </row>
    <row r="6" spans="1:10" s="116" customFormat="1" ht="14">
      <c r="A6" s="215" t="s">
        <v>2672</v>
      </c>
      <c r="B6" s="300" t="s">
        <v>2674</v>
      </c>
      <c r="C6" s="302"/>
      <c r="D6" s="303"/>
      <c r="G6" s="129"/>
    </row>
    <row r="7" spans="1:10" s="116" customFormat="1" ht="14">
      <c r="A7" s="215"/>
      <c r="B7" s="300"/>
      <c r="C7" s="302"/>
      <c r="D7" s="303"/>
      <c r="G7" s="129"/>
    </row>
    <row r="8" spans="1:10" s="116" customFormat="1" ht="14">
      <c r="A8" s="302" t="s">
        <v>2310</v>
      </c>
      <c r="B8" s="300"/>
      <c r="D8" s="303"/>
      <c r="G8" s="129"/>
    </row>
    <row r="9" spans="1:10" s="116" customFormat="1" ht="14">
      <c r="A9" s="215"/>
      <c r="B9" s="300"/>
      <c r="C9" s="302"/>
      <c r="D9" s="303"/>
      <c r="G9" s="129"/>
    </row>
    <row r="10" spans="1:10" s="116" customFormat="1" ht="14">
      <c r="A10" s="632" t="s">
        <v>90</v>
      </c>
      <c r="B10" s="625" t="s">
        <v>2333</v>
      </c>
      <c r="C10" s="632" t="s">
        <v>91</v>
      </c>
      <c r="D10" s="628" t="s">
        <v>2334</v>
      </c>
      <c r="E10" s="638" t="s">
        <v>2309</v>
      </c>
      <c r="F10" s="638" t="s">
        <v>488</v>
      </c>
      <c r="G10" s="630" t="s">
        <v>493</v>
      </c>
      <c r="H10" s="129"/>
    </row>
    <row r="11" spans="1:10" s="116" customFormat="1" ht="25">
      <c r="A11" s="635" t="s">
        <v>2259</v>
      </c>
      <c r="B11" s="636" t="s">
        <v>2258</v>
      </c>
      <c r="C11" s="633" t="s">
        <v>2597</v>
      </c>
      <c r="D11" s="634">
        <v>0</v>
      </c>
      <c r="E11" s="637"/>
      <c r="F11" s="637"/>
      <c r="G11" s="627" t="str">
        <f>IF(TBL_PF_4A[[#This Row],[Shade?]]&lt;&gt;"", "N/A", IF(TBL_PF_4A[[#This Row],[Adjustment ]]&lt;&gt;"", "Done", "Add"))</f>
        <v>Done</v>
      </c>
      <c r="H11" s="129"/>
    </row>
    <row r="12" spans="1:10" s="116" customFormat="1" ht="25">
      <c r="A12" s="635" t="s">
        <v>2260</v>
      </c>
      <c r="B12" s="636" t="s">
        <v>2258</v>
      </c>
      <c r="C12" s="645" t="s">
        <v>2596</v>
      </c>
      <c r="D12" s="646">
        <v>0</v>
      </c>
      <c r="E12" s="642"/>
      <c r="F12" s="642"/>
      <c r="G12" s="643" t="str">
        <f>IF(TBL_PF_4A[[#This Row],[Shade?]]&lt;&gt;"", "N/A", IF(TBL_PF_4A[[#This Row],[Adjustment ]]&lt;&gt;"", "Done", "Add"))</f>
        <v>Done</v>
      </c>
      <c r="H12" s="129"/>
    </row>
    <row r="13" spans="1:10" s="116" customFormat="1" ht="14">
      <c r="A13" s="215"/>
      <c r="B13" s="300"/>
      <c r="C13" s="302"/>
      <c r="D13" s="303"/>
      <c r="G13" s="129"/>
    </row>
    <row r="14" spans="1:10" s="116" customFormat="1" ht="14">
      <c r="A14" s="215" t="s">
        <v>2311</v>
      </c>
      <c r="B14" s="300"/>
      <c r="D14" s="303"/>
      <c r="G14" s="129"/>
    </row>
    <row r="16" spans="1:10" ht="26">
      <c r="A16" s="559" t="s">
        <v>90</v>
      </c>
      <c r="B16" s="561" t="s">
        <v>503</v>
      </c>
      <c r="C16" s="631" t="s">
        <v>91</v>
      </c>
      <c r="D16" s="562" t="s">
        <v>492</v>
      </c>
      <c r="E16" s="591" t="s">
        <v>2567</v>
      </c>
      <c r="F16" s="591" t="s">
        <v>2566</v>
      </c>
      <c r="G16" s="560" t="s">
        <v>488</v>
      </c>
      <c r="H16" s="563" t="s">
        <v>493</v>
      </c>
      <c r="J16" s="124"/>
    </row>
    <row r="17" spans="1:10" ht="25">
      <c r="A17" s="594" t="s">
        <v>2622</v>
      </c>
      <c r="B17" s="606" t="s">
        <v>2312</v>
      </c>
      <c r="C17" s="604" t="s">
        <v>2598</v>
      </c>
      <c r="D17" s="130">
        <v>4950</v>
      </c>
      <c r="E17" s="130">
        <f>IF(COUNTIF($G$11,"Add")&gt;0,"Missing info",ROUND((REP_DECENT_BASKET*TBL_PF_4B[[#This Row],[Rate]]+TBL_PF_4B[[#This Row],[Rate]]),2))</f>
        <v>4950</v>
      </c>
      <c r="F17" s="130">
        <f>IF(COUNTIF($G$12,"Add")&gt;0,"Missing info",ROUND((VOID_DECENT_BASKET*TBL_PF_4B[[#This Row],[Rate]]+TBL_PF_4B[[#This Row],[Rate]]),2))</f>
        <v>4950</v>
      </c>
      <c r="G17" s="565"/>
      <c r="H17" s="566"/>
      <c r="J17" s="124"/>
    </row>
    <row r="18" spans="1:10" ht="25">
      <c r="A18" s="594" t="s">
        <v>2623</v>
      </c>
      <c r="B18" s="606" t="s">
        <v>2312</v>
      </c>
      <c r="C18" s="605" t="s">
        <v>2599</v>
      </c>
      <c r="D18" s="599">
        <v>3700</v>
      </c>
      <c r="E18" s="599">
        <f>IF(COUNTIF($G$11,"Add")&gt;0,"Missing info",ROUND((REP_DECENT_BASKET*TBL_PF_4B[[#This Row],[Rate]]+TBL_PF_4B[[#This Row],[Rate]]),2))</f>
        <v>3700</v>
      </c>
      <c r="F18" s="599">
        <f>IF(COUNTIF($G$12,"Add")&gt;0,"Missing info",ROUND((VOID_DECENT_BASKET*TBL_PF_4B[[#This Row],[Rate]]+TBL_PF_4B[[#This Row],[Rate]]),2))</f>
        <v>3700</v>
      </c>
      <c r="G18" s="598"/>
      <c r="H18" s="600"/>
      <c r="J18" s="124"/>
    </row>
    <row r="19" spans="1:10" ht="25">
      <c r="A19" s="594" t="s">
        <v>2624</v>
      </c>
      <c r="B19" s="606" t="s">
        <v>2312</v>
      </c>
      <c r="C19" s="605" t="s">
        <v>2600</v>
      </c>
      <c r="D19" s="599">
        <v>6150</v>
      </c>
      <c r="E19" s="599">
        <f>IF(COUNTIF($G$11,"Add")&gt;0,"Missing info",ROUND((REP_DECENT_BASKET*TBL_PF_4B[[#This Row],[Rate]]+TBL_PF_4B[[#This Row],[Rate]]),2))</f>
        <v>6150</v>
      </c>
      <c r="F19" s="599">
        <f>IF(COUNTIF($G$12,"Add")&gt;0,"Missing info",ROUND((VOID_DECENT_BASKET*TBL_PF_4B[[#This Row],[Rate]]+TBL_PF_4B[[#This Row],[Rate]]),2))</f>
        <v>6150</v>
      </c>
      <c r="G19" s="598"/>
      <c r="H19" s="600"/>
      <c r="J19" s="124"/>
    </row>
    <row r="20" spans="1:10" ht="25">
      <c r="A20" s="594" t="s">
        <v>2625</v>
      </c>
      <c r="B20" s="606" t="s">
        <v>2312</v>
      </c>
      <c r="C20" s="605" t="s">
        <v>2601</v>
      </c>
      <c r="D20" s="599">
        <v>4850</v>
      </c>
      <c r="E20" s="599">
        <f>IF(COUNTIF($G$11,"Add")&gt;0,"Missing info",ROUND((REP_DECENT_BASKET*TBL_PF_4B[[#This Row],[Rate]]+TBL_PF_4B[[#This Row],[Rate]]),2))</f>
        <v>4850</v>
      </c>
      <c r="F20" s="599">
        <f>IF(COUNTIF($G$12,"Add")&gt;0,"Missing info",ROUND((VOID_DECENT_BASKET*TBL_PF_4B[[#This Row],[Rate]]+TBL_PF_4B[[#This Row],[Rate]]),2))</f>
        <v>4850</v>
      </c>
      <c r="G20" s="598"/>
      <c r="H20" s="600"/>
      <c r="J20" s="124"/>
    </row>
    <row r="21" spans="1:10" ht="25">
      <c r="A21" s="594" t="s">
        <v>2626</v>
      </c>
      <c r="B21" s="606" t="s">
        <v>2312</v>
      </c>
      <c r="C21" s="605" t="s">
        <v>2602</v>
      </c>
      <c r="D21" s="599">
        <v>6750</v>
      </c>
      <c r="E21" s="599">
        <f>IF(COUNTIF($G$11,"Add")&gt;0,"Missing info",ROUND((REP_DECENT_BASKET*TBL_PF_4B[[#This Row],[Rate]]+TBL_PF_4B[[#This Row],[Rate]]),2))</f>
        <v>6750</v>
      </c>
      <c r="F21" s="599">
        <f>IF(COUNTIF($G$12,"Add")&gt;0,"Missing info",ROUND((VOID_DECENT_BASKET*TBL_PF_4B[[#This Row],[Rate]]+TBL_PF_4B[[#This Row],[Rate]]),2))</f>
        <v>6750</v>
      </c>
      <c r="G21" s="598"/>
      <c r="H21" s="600"/>
      <c r="J21" s="124"/>
    </row>
    <row r="22" spans="1:10" ht="25">
      <c r="A22" s="594" t="s">
        <v>2627</v>
      </c>
      <c r="B22" s="606" t="s">
        <v>2312</v>
      </c>
      <c r="C22" s="605" t="s">
        <v>2603</v>
      </c>
      <c r="D22" s="599">
        <v>5500</v>
      </c>
      <c r="E22" s="599">
        <f>IF(COUNTIF($G$11,"Add")&gt;0,"Missing info",ROUND((REP_DECENT_BASKET*TBL_PF_4B[[#This Row],[Rate]]+TBL_PF_4B[[#This Row],[Rate]]),2))</f>
        <v>5500</v>
      </c>
      <c r="F22" s="599">
        <f>IF(COUNTIF($G$12,"Add")&gt;0,"Missing info",ROUND((VOID_DECENT_BASKET*TBL_PF_4B[[#This Row],[Rate]]+TBL_PF_4B[[#This Row],[Rate]]),2))</f>
        <v>5500</v>
      </c>
      <c r="G22" s="598"/>
      <c r="H22" s="600"/>
      <c r="J22" s="124"/>
    </row>
    <row r="23" spans="1:10" ht="25">
      <c r="A23" s="594" t="s">
        <v>2628</v>
      </c>
      <c r="B23" s="606" t="s">
        <v>2312</v>
      </c>
      <c r="C23" s="605" t="s">
        <v>2604</v>
      </c>
      <c r="D23" s="599">
        <v>2900</v>
      </c>
      <c r="E23" s="599">
        <f>IF(COUNTIF($G$11,"Add")&gt;0,"Missing info",ROUND((REP_DECENT_BASKET*TBL_PF_4B[[#This Row],[Rate]]+TBL_PF_4B[[#This Row],[Rate]]),2))</f>
        <v>2900</v>
      </c>
      <c r="F23" s="599">
        <f>IF(COUNTIF($G$12,"Add")&gt;0,"Missing info",ROUND((VOID_DECENT_BASKET*TBL_PF_4B[[#This Row],[Rate]]+TBL_PF_4B[[#This Row],[Rate]]),2))</f>
        <v>2900</v>
      </c>
      <c r="G23" s="598"/>
      <c r="H23" s="600"/>
      <c r="J23" s="124"/>
    </row>
    <row r="24" spans="1:10" ht="25">
      <c r="A24" s="594" t="s">
        <v>2629</v>
      </c>
      <c r="B24" s="606" t="s">
        <v>2312</v>
      </c>
      <c r="C24" s="605" t="s">
        <v>2605</v>
      </c>
      <c r="D24" s="599">
        <v>2800</v>
      </c>
      <c r="E24" s="599">
        <f>IF(COUNTIF($G$11,"Add")&gt;0,"Missing info",ROUND((REP_DECENT_BASKET*TBL_PF_4B[[#This Row],[Rate]]+TBL_PF_4B[[#This Row],[Rate]]),2))</f>
        <v>2800</v>
      </c>
      <c r="F24" s="599">
        <f>IF(COUNTIF($G$12,"Add")&gt;0,"Missing info",ROUND((VOID_DECENT_BASKET*TBL_PF_4B[[#This Row],[Rate]]+TBL_PF_4B[[#This Row],[Rate]]),2))</f>
        <v>2800</v>
      </c>
      <c r="G24" s="598"/>
      <c r="H24" s="600"/>
      <c r="J24" s="124"/>
    </row>
    <row r="25" spans="1:10" ht="25">
      <c r="A25" s="594" t="s">
        <v>2630</v>
      </c>
      <c r="B25" s="606" t="s">
        <v>2312</v>
      </c>
      <c r="C25" s="605" t="s">
        <v>2606</v>
      </c>
      <c r="D25" s="599">
        <v>2600</v>
      </c>
      <c r="E25" s="599">
        <f>IF(COUNTIF($G$11,"Add")&gt;0,"Missing info",ROUND((REP_DECENT_BASKET*TBL_PF_4B[[#This Row],[Rate]]+TBL_PF_4B[[#This Row],[Rate]]),2))</f>
        <v>2600</v>
      </c>
      <c r="F25" s="599">
        <f>IF(COUNTIF($G$12,"Add")&gt;0,"Missing info",ROUND((VOID_DECENT_BASKET*TBL_PF_4B[[#This Row],[Rate]]+TBL_PF_4B[[#This Row],[Rate]]),2))</f>
        <v>2600</v>
      </c>
      <c r="G25" s="598"/>
      <c r="H25" s="600"/>
      <c r="J25" s="124"/>
    </row>
    <row r="26" spans="1:10" ht="25">
      <c r="A26" s="594" t="s">
        <v>2631</v>
      </c>
      <c r="B26" s="606" t="s">
        <v>2312</v>
      </c>
      <c r="C26" s="605" t="s">
        <v>2607</v>
      </c>
      <c r="D26" s="599">
        <v>2500</v>
      </c>
      <c r="E26" s="599">
        <f>IF(COUNTIF($G$11,"Add")&gt;0,"Missing info",ROUND((REP_DECENT_BASKET*TBL_PF_4B[[#This Row],[Rate]]+TBL_PF_4B[[#This Row],[Rate]]),2))</f>
        <v>2500</v>
      </c>
      <c r="F26" s="599">
        <f>IF(COUNTIF($G$12,"Add")&gt;0,"Missing info",ROUND((VOID_DECENT_BASKET*TBL_PF_4B[[#This Row],[Rate]]+TBL_PF_4B[[#This Row],[Rate]]),2))</f>
        <v>2500</v>
      </c>
      <c r="G26" s="598"/>
      <c r="H26" s="600"/>
      <c r="J26" s="124"/>
    </row>
    <row r="27" spans="1:10" ht="25">
      <c r="A27" s="594" t="s">
        <v>2632</v>
      </c>
      <c r="B27" s="606" t="s">
        <v>2312</v>
      </c>
      <c r="C27" s="605" t="s">
        <v>2608</v>
      </c>
      <c r="D27" s="599">
        <v>1000</v>
      </c>
      <c r="E27" s="599">
        <f>IF(COUNTIF($G$11,"Add")&gt;0,"Missing info",ROUND((REP_DECENT_BASKET*TBL_PF_4B[[#This Row],[Rate]]+TBL_PF_4B[[#This Row],[Rate]]),2))</f>
        <v>1000</v>
      </c>
      <c r="F27" s="599">
        <f>IF(COUNTIF($G$12,"Add")&gt;0,"Missing info",ROUND((VOID_DECENT_BASKET*TBL_PF_4B[[#This Row],[Rate]]+TBL_PF_4B[[#This Row],[Rate]]),2))</f>
        <v>1000</v>
      </c>
      <c r="G27" s="598"/>
      <c r="H27" s="600"/>
      <c r="J27" s="124"/>
    </row>
    <row r="28" spans="1:10" ht="25">
      <c r="A28" s="594" t="s">
        <v>2633</v>
      </c>
      <c r="B28" s="606" t="s">
        <v>2312</v>
      </c>
      <c r="C28" s="605" t="s">
        <v>2609</v>
      </c>
      <c r="D28" s="599">
        <v>950</v>
      </c>
      <c r="E28" s="599">
        <f>IF(COUNTIF($G$11,"Add")&gt;0,"Missing info",ROUND((REP_DECENT_BASKET*TBL_PF_4B[[#This Row],[Rate]]+TBL_PF_4B[[#This Row],[Rate]]),2))</f>
        <v>950</v>
      </c>
      <c r="F28" s="599">
        <f>IF(COUNTIF($G$12,"Add")&gt;0,"Missing info",ROUND((VOID_DECENT_BASKET*TBL_PF_4B[[#This Row],[Rate]]+TBL_PF_4B[[#This Row],[Rate]]),2))</f>
        <v>950</v>
      </c>
      <c r="G28" s="598"/>
      <c r="H28" s="600"/>
      <c r="J28" s="124"/>
    </row>
    <row r="30" spans="1:10" s="126" customFormat="1" ht="25.25" customHeight="1">
      <c r="C30" s="127"/>
      <c r="D30" s="647" t="s">
        <v>2568</v>
      </c>
      <c r="E30" s="128">
        <f>IF(COUNTIF($G$11, "Add")&gt;0, "Missing info", ROUND(SUM(TBL_PF_4B[Repairs Adjusted Rate]), 2))</f>
        <v>44650</v>
      </c>
      <c r="F30" s="128">
        <f>IF(COUNTIF($G$12, "Add")&gt;0, "Missing info", ROUND(SUM(TBL_PF_4B[Voids Adjusted Rate]), 2))</f>
        <v>44650</v>
      </c>
      <c r="G30" s="125"/>
    </row>
  </sheetData>
  <sheetProtection algorithmName="SHA-512" hashValue="EiIufKfBPN1ystddkvjM7o0yF0Qr7IxzrTZml++hWVaq8C8HCsNawtxnMVSGbHTacilx/Sl32M0jtDx3dr0yqw==" saltValue="ic9LnkqEFvjAJ5tv7LOd8A==" spinCount="100000" sheet="1" objects="1" scenarios="1"/>
  <phoneticPr fontId="106" type="noConversion"/>
  <conditionalFormatting sqref="A10">
    <cfRule type="expression" dxfId="31" priority="1">
      <formula>INDIRECT("E"&amp;ROW())="Shade"</formula>
    </cfRule>
    <cfRule type="expression" dxfId="30" priority="2">
      <formula>INDIRECT("F"&amp;ROW())="Done"</formula>
    </cfRule>
    <cfRule type="expression" dxfId="29" priority="3">
      <formula>INDIRECT("F"&amp;ROW())="Add"</formula>
    </cfRule>
  </conditionalFormatting>
  <conditionalFormatting sqref="C10:C12">
    <cfRule type="expression" dxfId="28" priority="4">
      <formula>INDIRECT("E"&amp;ROW())="Shade"</formula>
    </cfRule>
    <cfRule type="expression" dxfId="27" priority="5">
      <formula>INDIRECT("F"&amp;ROW())="Done"</formula>
    </cfRule>
    <cfRule type="expression" dxfId="26" priority="6">
      <formula>INDIRECT("F"&amp;ROW())="Add"</formula>
    </cfRule>
  </conditionalFormatting>
  <conditionalFormatting sqref="D1:D1048576">
    <cfRule type="expression" dxfId="25" priority="10">
      <formula>INDIRECT("F"&amp;ROW())="Shade"</formula>
    </cfRule>
    <cfRule type="expression" dxfId="24" priority="11">
      <formula>INDIRECT("G"&amp;ROW())="Done"</formula>
    </cfRule>
    <cfRule type="expression" dxfId="23" priority="12">
      <formula>INDIRECT("G"&amp;ROW())="Add"</formula>
    </cfRule>
  </conditionalFormatting>
  <conditionalFormatting sqref="E30:F30">
    <cfRule type="expression" dxfId="22" priority="7">
      <formula>INDIRECT("E"&amp;ROW())="Shade"</formula>
    </cfRule>
    <cfRule type="expression" dxfId="21" priority="8">
      <formula>INDIRECT("F"&amp;ROW())="Done"</formula>
    </cfRule>
    <cfRule type="expression" dxfId="20" priority="9">
      <formula>INDIRECT("F"&amp;ROW())="Add"</formula>
    </cfRule>
  </conditionalFormatting>
  <dataValidations count="1">
    <dataValidation type="decimal" operator="greaterThanOrEqual" allowBlank="1" showInputMessage="1" showErrorMessage="1" sqref="D11:D12" xr:uid="{5CBE0672-99D9-4E01-8937-6EE71CC9EAFD}">
      <formula1>-1</formula1>
    </dataValidation>
  </dataValidations>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2">
    <tablePart r:id="rId2"/>
    <tablePart r:id="rId3"/>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42F4B-52DB-4255-91FA-7336D80B096A}">
  <dimension ref="A1:K24"/>
  <sheetViews>
    <sheetView showGridLines="0" zoomScaleNormal="100" workbookViewId="0">
      <selection activeCell="L29" sqref="L29"/>
    </sheetView>
  </sheetViews>
  <sheetFormatPr defaultColWidth="9" defaultRowHeight="12.5"/>
  <cols>
    <col min="1" max="1" width="9.453125" style="119" customWidth="1"/>
    <col min="2" max="2" width="42.36328125" style="119" customWidth="1"/>
    <col min="3" max="3" width="10.6328125" style="119" customWidth="1"/>
    <col min="4" max="4" width="13.54296875" style="125" customWidth="1"/>
    <col min="5" max="5" width="14.36328125" style="119" customWidth="1"/>
    <col min="6" max="6" width="15.36328125" style="119" customWidth="1"/>
    <col min="7" max="7" width="10.08984375" style="124" hidden="1" customWidth="1"/>
    <col min="8" max="11" width="0" style="119" hidden="1" customWidth="1"/>
    <col min="12" max="16384" width="9" style="119"/>
  </cols>
  <sheetData>
    <row r="1" spans="1:11" s="343"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J1" s="554" t="str">
        <f>IF(COUNTIF(H:H, "Add")&gt;0, "Incomplete", "Complete")</f>
        <v>Complete</v>
      </c>
      <c r="K1" s="554">
        <v>5</v>
      </c>
    </row>
    <row r="2" spans="1:11" s="343" customFormat="1" ht="12.5" customHeight="1">
      <c r="A2" s="54" t="str">
        <f t="array" ref="A2">CONCATENATE(INDEX(TBL_DATA_00_Doc_Merge[Supplier_Type], MATCH(1, (REF_Doc_Lot=TBL_DATA_00_Doc_Merge[Lot])*(REF_Job_No=TBL_DATA_00_Doc_Merge[Job_No]),0)), ":")</f>
        <v>Supplier:</v>
      </c>
      <c r="B2" s="54" t="str">
        <f>Response!$A$2</f>
        <v>Purdy Contracts Ltd</v>
      </c>
      <c r="C2" s="54"/>
      <c r="D2" s="342"/>
      <c r="G2" s="348"/>
    </row>
    <row r="3" spans="1:11" s="343" customFormat="1" ht="12.5" customHeight="1">
      <c r="D3" s="342"/>
      <c r="G3" s="348"/>
    </row>
    <row r="4" spans="1:11" s="27" customFormat="1" ht="17.5">
      <c r="A4" s="91" t="str">
        <f>CONCATENATE("Price submission (", TBL_DATA_00_Doc_Merge[[#This Row],[PF_or_TB?]], ")")</f>
        <v>Price submission (Price Framework)</v>
      </c>
      <c r="C4" s="131"/>
      <c r="D4" s="36"/>
      <c r="G4" s="36"/>
    </row>
    <row r="5" spans="1:11" s="1" customFormat="1" ht="14">
      <c r="D5" s="30"/>
      <c r="G5" s="15"/>
    </row>
    <row r="6" spans="1:11" s="116" customFormat="1" ht="14">
      <c r="A6" s="215" t="s">
        <v>2673</v>
      </c>
      <c r="B6" s="300" t="s">
        <v>2246</v>
      </c>
      <c r="C6" s="302"/>
      <c r="D6" s="303"/>
      <c r="G6" s="129"/>
    </row>
    <row r="8" spans="1:11" ht="26">
      <c r="A8" s="559" t="s">
        <v>90</v>
      </c>
      <c r="B8" s="560" t="s">
        <v>91</v>
      </c>
      <c r="C8" s="561" t="s">
        <v>503</v>
      </c>
      <c r="D8" s="133" t="s">
        <v>2270</v>
      </c>
      <c r="E8" s="562" t="s">
        <v>492</v>
      </c>
      <c r="F8" s="591" t="s">
        <v>2271</v>
      </c>
      <c r="G8" s="560" t="s">
        <v>488</v>
      </c>
      <c r="H8" s="563" t="s">
        <v>493</v>
      </c>
      <c r="J8" s="124"/>
    </row>
    <row r="9" spans="1:11">
      <c r="A9" s="594" t="s">
        <v>2272</v>
      </c>
      <c r="B9" s="565" t="s">
        <v>2261</v>
      </c>
      <c r="C9" s="601" t="s">
        <v>2268</v>
      </c>
      <c r="D9" s="670">
        <v>15</v>
      </c>
      <c r="E9" s="130">
        <v>308</v>
      </c>
      <c r="F9" s="130">
        <f>IF(TBL_PF_3[[#This Row],[Check?]]="Add", "Missing info", ROUND(TBL_PF_3[[#This Row],[Rate]]*TBL_PF_3[[#This Row],[Indicative Quantity]], 2))</f>
        <v>4620</v>
      </c>
      <c r="G9" s="565"/>
      <c r="H9" s="566" t="str">
        <f>IF(TBL_PF_3[[#This Row],[Shade?]]&lt;&gt;"", "N/A", IF(TBL_PF_3[[#This Row],[Rate]]&lt;&gt;"", "Done", "Add"))</f>
        <v>Done</v>
      </c>
      <c r="J9" s="124"/>
    </row>
    <row r="10" spans="1:11">
      <c r="A10" s="594" t="s">
        <v>2273</v>
      </c>
      <c r="B10" s="565" t="s">
        <v>2261</v>
      </c>
      <c r="C10" s="601" t="s">
        <v>2269</v>
      </c>
      <c r="D10" s="670">
        <v>100</v>
      </c>
      <c r="E10" s="130">
        <v>38.5</v>
      </c>
      <c r="F10" s="130">
        <f>IF(TBL_PF_3[[#This Row],[Check?]]="Add", "Missing info", ROUND(TBL_PF_3[[#This Row],[Rate]]*TBL_PF_3[[#This Row],[Indicative Quantity]], 2))</f>
        <v>3850</v>
      </c>
      <c r="G10" s="565"/>
      <c r="H10" s="566" t="str">
        <f>IF(TBL_PF_3[[#This Row],[Shade?]]&lt;&gt;"", "N/A", IF(TBL_PF_3[[#This Row],[Rate]]&lt;&gt;"", "Done", "Add"))</f>
        <v>Done</v>
      </c>
      <c r="J10" s="124"/>
    </row>
    <row r="11" spans="1:11">
      <c r="A11" s="594" t="s">
        <v>2274</v>
      </c>
      <c r="B11" s="598" t="s">
        <v>2262</v>
      </c>
      <c r="C11" s="602" t="s">
        <v>2268</v>
      </c>
      <c r="D11" s="670">
        <v>15</v>
      </c>
      <c r="E11" s="599">
        <v>465.6</v>
      </c>
      <c r="F11" s="599">
        <f>IF(TBL_PF_3[[#This Row],[Check?]]="Add", "Missing info", ROUND(TBL_PF_3[[#This Row],[Rate]]*TBL_PF_3[[#This Row],[Indicative Quantity]], 2))</f>
        <v>6984</v>
      </c>
      <c r="G11" s="598"/>
      <c r="H11" s="600" t="str">
        <f>IF(TBL_PF_3[[#This Row],[Shade?]]&lt;&gt;"", "N/A", IF(TBL_PF_3[[#This Row],[Rate]]&lt;&gt;"", "Done", "Add"))</f>
        <v>Done</v>
      </c>
      <c r="J11" s="124"/>
    </row>
    <row r="12" spans="1:11">
      <c r="A12" s="594" t="s">
        <v>2275</v>
      </c>
      <c r="B12" s="598" t="s">
        <v>2262</v>
      </c>
      <c r="C12" s="602" t="s">
        <v>2269</v>
      </c>
      <c r="D12" s="670">
        <v>75</v>
      </c>
      <c r="E12" s="599">
        <v>58.2</v>
      </c>
      <c r="F12" s="599">
        <f>IF(TBL_PF_3[[#This Row],[Check?]]="Add", "Missing info", ROUND(TBL_PF_3[[#This Row],[Rate]]*TBL_PF_3[[#This Row],[Indicative Quantity]], 2))</f>
        <v>4365</v>
      </c>
      <c r="G12" s="598"/>
      <c r="H12" s="600" t="str">
        <f>IF(TBL_PF_3[[#This Row],[Shade?]]&lt;&gt;"", "N/A", IF(TBL_PF_3[[#This Row],[Rate]]&lt;&gt;"", "Done", "Add"))</f>
        <v>Done</v>
      </c>
      <c r="J12" s="124"/>
    </row>
    <row r="13" spans="1:11">
      <c r="A13" s="594" t="s">
        <v>2276</v>
      </c>
      <c r="B13" s="598" t="s">
        <v>2263</v>
      </c>
      <c r="C13" s="602" t="s">
        <v>2268</v>
      </c>
      <c r="D13" s="670">
        <v>15</v>
      </c>
      <c r="E13" s="599">
        <v>308</v>
      </c>
      <c r="F13" s="599">
        <f>IF(TBL_PF_3[[#This Row],[Check?]]="Add", "Missing info", ROUND(TBL_PF_3[[#This Row],[Rate]]*TBL_PF_3[[#This Row],[Indicative Quantity]], 2))</f>
        <v>4620</v>
      </c>
      <c r="G13" s="598"/>
      <c r="H13" s="600" t="str">
        <f>IF(TBL_PF_3[[#This Row],[Shade?]]&lt;&gt;"", "N/A", IF(TBL_PF_3[[#This Row],[Rate]]&lt;&gt;"", "Done", "Add"))</f>
        <v>Done</v>
      </c>
      <c r="J13" s="124"/>
    </row>
    <row r="14" spans="1:11">
      <c r="A14" s="594" t="s">
        <v>2658</v>
      </c>
      <c r="B14" s="598" t="s">
        <v>2263</v>
      </c>
      <c r="C14" s="602" t="s">
        <v>2269</v>
      </c>
      <c r="D14" s="670">
        <v>50</v>
      </c>
      <c r="E14" s="599">
        <v>38.5</v>
      </c>
      <c r="F14" s="599">
        <f>IF(TBL_PF_3[[#This Row],[Check?]]="Add", "Missing info", ROUND(TBL_PF_3[[#This Row],[Rate]]*TBL_PF_3[[#This Row],[Indicative Quantity]], 2))</f>
        <v>1925</v>
      </c>
      <c r="G14" s="598"/>
      <c r="H14" s="600" t="str">
        <f>IF(TBL_PF_3[[#This Row],[Shade?]]&lt;&gt;"", "N/A", IF(TBL_PF_3[[#This Row],[Rate]]&lt;&gt;"", "Done", "Add"))</f>
        <v>Done</v>
      </c>
      <c r="J14" s="124"/>
    </row>
    <row r="15" spans="1:11">
      <c r="A15" s="594" t="s">
        <v>2659</v>
      </c>
      <c r="B15" s="598" t="s">
        <v>2264</v>
      </c>
      <c r="C15" s="602" t="s">
        <v>2268</v>
      </c>
      <c r="D15" s="670">
        <v>15</v>
      </c>
      <c r="E15" s="599">
        <v>308</v>
      </c>
      <c r="F15" s="599">
        <f>IF(TBL_PF_3[[#This Row],[Check?]]="Add", "Missing info", ROUND(TBL_PF_3[[#This Row],[Rate]]*TBL_PF_3[[#This Row],[Indicative Quantity]], 2))</f>
        <v>4620</v>
      </c>
      <c r="G15" s="598"/>
      <c r="H15" s="600" t="str">
        <f>IF(TBL_PF_3[[#This Row],[Shade?]]&lt;&gt;"", "N/A", IF(TBL_PF_3[[#This Row],[Rate]]&lt;&gt;"", "Done", "Add"))</f>
        <v>Done</v>
      </c>
      <c r="J15" s="124"/>
    </row>
    <row r="16" spans="1:11">
      <c r="A16" s="594" t="s">
        <v>2660</v>
      </c>
      <c r="B16" s="598" t="s">
        <v>2264</v>
      </c>
      <c r="C16" s="602" t="s">
        <v>2269</v>
      </c>
      <c r="D16" s="670">
        <v>50</v>
      </c>
      <c r="E16" s="599">
        <v>38.5</v>
      </c>
      <c r="F16" s="599">
        <f>IF(TBL_PF_3[[#This Row],[Check?]]="Add", "Missing info", ROUND(TBL_PF_3[[#This Row],[Rate]]*TBL_PF_3[[#This Row],[Indicative Quantity]], 2))</f>
        <v>1925</v>
      </c>
      <c r="G16" s="598"/>
      <c r="H16" s="600" t="str">
        <f>IF(TBL_PF_3[[#This Row],[Shade?]]&lt;&gt;"", "N/A", IF(TBL_PF_3[[#This Row],[Rate]]&lt;&gt;"", "Done", "Add"))</f>
        <v>Done</v>
      </c>
      <c r="J16" s="124"/>
    </row>
    <row r="17" spans="1:10">
      <c r="A17" s="594" t="s">
        <v>2661</v>
      </c>
      <c r="B17" s="598" t="s">
        <v>2265</v>
      </c>
      <c r="C17" s="602" t="s">
        <v>2268</v>
      </c>
      <c r="D17" s="670">
        <v>15</v>
      </c>
      <c r="E17" s="599">
        <v>308</v>
      </c>
      <c r="F17" s="599">
        <f>IF(TBL_PF_3[[#This Row],[Check?]]="Add", "Missing info", ROUND(TBL_PF_3[[#This Row],[Rate]]*TBL_PF_3[[#This Row],[Indicative Quantity]], 2))</f>
        <v>4620</v>
      </c>
      <c r="G17" s="598"/>
      <c r="H17" s="600" t="str">
        <f>IF(TBL_PF_3[[#This Row],[Shade?]]&lt;&gt;"", "N/A", IF(TBL_PF_3[[#This Row],[Rate]]&lt;&gt;"", "Done", "Add"))</f>
        <v>Done</v>
      </c>
      <c r="J17" s="124"/>
    </row>
    <row r="18" spans="1:10">
      <c r="A18" s="594" t="s">
        <v>2662</v>
      </c>
      <c r="B18" s="598" t="s">
        <v>2265</v>
      </c>
      <c r="C18" s="602" t="s">
        <v>2269</v>
      </c>
      <c r="D18" s="670">
        <v>50</v>
      </c>
      <c r="E18" s="599">
        <v>38.5</v>
      </c>
      <c r="F18" s="599">
        <f>IF(TBL_PF_3[[#This Row],[Check?]]="Add", "Missing info", ROUND(TBL_PF_3[[#This Row],[Rate]]*TBL_PF_3[[#This Row],[Indicative Quantity]], 2))</f>
        <v>1925</v>
      </c>
      <c r="G18" s="598"/>
      <c r="H18" s="600" t="str">
        <f>IF(TBL_PF_3[[#This Row],[Shade?]]&lt;&gt;"", "N/A", IF(TBL_PF_3[[#This Row],[Rate]]&lt;&gt;"", "Done", "Add"))</f>
        <v>Done</v>
      </c>
      <c r="J18" s="124"/>
    </row>
    <row r="19" spans="1:10">
      <c r="A19" s="594" t="s">
        <v>2663</v>
      </c>
      <c r="B19" s="598" t="s">
        <v>2266</v>
      </c>
      <c r="C19" s="602" t="s">
        <v>2268</v>
      </c>
      <c r="D19" s="670">
        <v>15</v>
      </c>
      <c r="E19" s="599">
        <v>308</v>
      </c>
      <c r="F19" s="599">
        <f>IF(TBL_PF_3[[#This Row],[Check?]]="Add", "Missing info", ROUND(TBL_PF_3[[#This Row],[Rate]]*TBL_PF_3[[#This Row],[Indicative Quantity]], 2))</f>
        <v>4620</v>
      </c>
      <c r="G19" s="598"/>
      <c r="H19" s="600" t="str">
        <f>IF(TBL_PF_3[[#This Row],[Shade?]]&lt;&gt;"", "N/A", IF(TBL_PF_3[[#This Row],[Rate]]&lt;&gt;"", "Done", "Add"))</f>
        <v>Done</v>
      </c>
      <c r="J19" s="124"/>
    </row>
    <row r="20" spans="1:10">
      <c r="A20" s="594" t="s">
        <v>2664</v>
      </c>
      <c r="B20" s="565" t="s">
        <v>2266</v>
      </c>
      <c r="C20" s="601" t="s">
        <v>2269</v>
      </c>
      <c r="D20" s="670">
        <v>50</v>
      </c>
      <c r="E20" s="130">
        <v>38.5</v>
      </c>
      <c r="F20" s="130">
        <f>IF(TBL_PF_3[[#This Row],[Check?]]="Add", "Missing info", ROUND(TBL_PF_3[[#This Row],[Rate]]*TBL_PF_3[[#This Row],[Indicative Quantity]], 2))</f>
        <v>1925</v>
      </c>
      <c r="G20" s="565"/>
      <c r="H20" s="566" t="str">
        <f>IF(TBL_PF_3[[#This Row],[Shade?]]&lt;&gt;"", "N/A", IF(TBL_PF_3[[#This Row],[Rate]]&lt;&gt;"", "Done", "Add"))</f>
        <v>Done</v>
      </c>
      <c r="I20" s="124"/>
    </row>
    <row r="21" spans="1:10">
      <c r="A21" s="594" t="s">
        <v>2665</v>
      </c>
      <c r="B21" s="565" t="s">
        <v>2267</v>
      </c>
      <c r="C21" s="601" t="s">
        <v>2268</v>
      </c>
      <c r="D21" s="670">
        <v>15</v>
      </c>
      <c r="E21" s="130">
        <v>157.6</v>
      </c>
      <c r="F21" s="130">
        <f>IF(TBL_PF_3[[#This Row],[Check?]]="Add", "Missing info", ROUND(TBL_PF_3[[#This Row],[Rate]]*TBL_PF_3[[#This Row],[Indicative Quantity]], 2))</f>
        <v>2364</v>
      </c>
      <c r="G21" s="565"/>
      <c r="H21" s="566" t="str">
        <f>IF(TBL_PF_3[[#This Row],[Shade?]]&lt;&gt;"", "N/A", IF(TBL_PF_3[[#This Row],[Rate]]&lt;&gt;"", "Done", "Add"))</f>
        <v>Done</v>
      </c>
      <c r="I21" s="124"/>
    </row>
    <row r="22" spans="1:10">
      <c r="A22" s="594" t="s">
        <v>2666</v>
      </c>
      <c r="B22" s="568" t="s">
        <v>2267</v>
      </c>
      <c r="C22" s="603" t="s">
        <v>2269</v>
      </c>
      <c r="D22" s="671">
        <v>50</v>
      </c>
      <c r="E22" s="569">
        <v>19.7</v>
      </c>
      <c r="F22" s="569">
        <f>IF(TBL_PF_3[[#This Row],[Check?]]="Add", "Missing info", ROUND(TBL_PF_3[[#This Row],[Rate]]*TBL_PF_3[[#This Row],[Indicative Quantity]], 2))</f>
        <v>985</v>
      </c>
      <c r="G22" s="568"/>
      <c r="H22" s="570" t="str">
        <f>IF(TBL_PF_3[[#This Row],[Shade?]]&lt;&gt;"", "N/A", IF(TBL_PF_3[[#This Row],[Rate]]&lt;&gt;"", "Done", "Add"))</f>
        <v>Done</v>
      </c>
      <c r="I22" s="124"/>
    </row>
    <row r="24" spans="1:10" s="126" customFormat="1" ht="25.25" customHeight="1">
      <c r="D24" s="592"/>
      <c r="E24" s="127" t="s">
        <v>499</v>
      </c>
      <c r="F24" s="128">
        <f>IF(COUNTIF(TBL_PF_3[Check?], "Add")&gt;0, "Missing info", ROUND(SUM(TBL_PF_3[Total (Rate x Qty)]), 2))</f>
        <v>49348</v>
      </c>
      <c r="G24" s="125"/>
    </row>
  </sheetData>
  <sheetProtection algorithmName="SHA-512" hashValue="NkXWZVqVegZmHpAn4K/m+Ym6x9Sx1HqjFw6/lLdCm3Ibb4urczKNiP/W5L1dUVYaSrKPTRw8lUoou48i5dMqOw==" saltValue="RK/HV3Isz4ji5tOlzl42PQ==" spinCount="100000" sheet="1" objects="1" scenarios="1"/>
  <phoneticPr fontId="106" type="noConversion"/>
  <conditionalFormatting sqref="D1:D7 E8:F22 D23:D1048576">
    <cfRule type="expression" dxfId="19" priority="4">
      <formula>INDIRECT("E"&amp;ROW())="Shade"</formula>
    </cfRule>
  </conditionalFormatting>
  <conditionalFormatting sqref="E1:E1048576">
    <cfRule type="expression" dxfId="18" priority="5">
      <formula>INDIRECT("H"&amp;ROW())="Done"</formula>
    </cfRule>
    <cfRule type="expression" dxfId="17" priority="6">
      <formula>INDIRECT("H"&amp;ROW())="Add"</formula>
    </cfRule>
  </conditionalFormatting>
  <conditionalFormatting sqref="F24">
    <cfRule type="expression" dxfId="16" priority="1">
      <formula>INDIRECT("E"&amp;ROW())="Shade"</formula>
    </cfRule>
    <cfRule type="expression" dxfId="15" priority="2">
      <formula>INDIRECT("F"&amp;ROW())="Done"</formula>
    </cfRule>
    <cfRule type="expression" dxfId="14" priority="3">
      <formula>INDIRECT("F"&amp;ROW())="Add"</formula>
    </cfRule>
  </conditionalFormatting>
  <dataValidations count="1">
    <dataValidation type="decimal" operator="greaterThan" allowBlank="1" showInputMessage="1" showErrorMessage="1" sqref="E9:E10 E12:E22 E11" xr:uid="{BABA058C-E10F-4FD6-9142-E7969B60C413}">
      <formula1>0</formula1>
    </dataValidation>
  </dataValidations>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AC2BF-C8B5-43E2-BDC9-90CD3ADA0C20}">
  <dimension ref="A1:K15"/>
  <sheetViews>
    <sheetView showGridLines="0" zoomScaleNormal="100" workbookViewId="0">
      <selection activeCell="Q23" sqref="Q23"/>
    </sheetView>
  </sheetViews>
  <sheetFormatPr defaultColWidth="9" defaultRowHeight="12.5"/>
  <cols>
    <col min="1" max="1" width="9.453125" style="119" customWidth="1"/>
    <col min="2" max="2" width="39.453125" style="119" customWidth="1"/>
    <col min="3" max="3" width="10.6328125" style="119" customWidth="1"/>
    <col min="4" max="4" width="17" style="125" customWidth="1"/>
    <col min="5" max="5" width="16" style="119" hidden="1" customWidth="1"/>
    <col min="6" max="6" width="17.54296875" style="119" hidden="1" customWidth="1"/>
    <col min="7" max="7" width="10.08984375" style="124" hidden="1" customWidth="1"/>
    <col min="8" max="11" width="0" style="119" hidden="1" customWidth="1"/>
    <col min="12" max="16384" width="9" style="119"/>
  </cols>
  <sheetData>
    <row r="1" spans="1:11" s="343"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J1" s="554" t="str">
        <f>IF(COUNTIF(F:F, "Add")&gt;0, "Incomplete", "Complete")</f>
        <v>Complete</v>
      </c>
      <c r="K1" s="554">
        <v>6</v>
      </c>
    </row>
    <row r="2" spans="1:11" s="343" customFormat="1" ht="12.5" customHeight="1">
      <c r="A2" s="54" t="str">
        <f t="array" ref="A2">CONCATENATE(INDEX(TBL_DATA_00_Doc_Merge[Supplier_Type], MATCH(1, (REF_Doc_Lot=TBL_DATA_00_Doc_Merge[Lot])*(REF_Job_No=TBL_DATA_00_Doc_Merge[Job_No]),0)), ":")</f>
        <v>Supplier:</v>
      </c>
      <c r="B2" s="54" t="str">
        <f>Response!$A$2</f>
        <v>Purdy Contracts Ltd</v>
      </c>
      <c r="C2" s="54"/>
      <c r="D2" s="342"/>
      <c r="G2" s="348"/>
    </row>
    <row r="3" spans="1:11" s="343" customFormat="1" ht="12.5" customHeight="1">
      <c r="D3" s="342"/>
      <c r="G3" s="348"/>
    </row>
    <row r="4" spans="1:11" s="27" customFormat="1" ht="17.5">
      <c r="A4" s="91" t="str">
        <f>CONCATENATE("Price submission (", TBL_DATA_00_Doc_Merge[[#This Row],[PF_or_TB?]], ")")</f>
        <v>Price submission (Price Framework)</v>
      </c>
      <c r="C4" s="131"/>
      <c r="D4" s="36"/>
      <c r="G4" s="36"/>
    </row>
    <row r="5" spans="1:11" s="1" customFormat="1" ht="14">
      <c r="D5" s="30"/>
      <c r="G5" s="15"/>
    </row>
    <row r="6" spans="1:11" s="116" customFormat="1" ht="14">
      <c r="A6" s="215" t="s">
        <v>2675</v>
      </c>
      <c r="B6" s="300" t="s">
        <v>2245</v>
      </c>
      <c r="C6" s="302"/>
      <c r="D6" s="303"/>
      <c r="G6" s="129"/>
    </row>
    <row r="7" spans="1:11" s="116" customFormat="1" ht="14">
      <c r="A7" s="215"/>
      <c r="B7" s="300"/>
      <c r="C7" s="302"/>
      <c r="D7" s="303"/>
      <c r="G7" s="129"/>
    </row>
    <row r="8" spans="1:11" s="116" customFormat="1" ht="28.5" customHeight="1">
      <c r="A8" s="215"/>
      <c r="B8" s="707" t="s">
        <v>2341</v>
      </c>
      <c r="C8" s="707"/>
      <c r="D8" s="707"/>
      <c r="G8" s="129"/>
    </row>
    <row r="9" spans="1:11" s="116" customFormat="1" ht="14">
      <c r="A9" s="215"/>
      <c r="B9" s="300"/>
      <c r="C9" s="302"/>
      <c r="D9" s="303"/>
      <c r="G9" s="129"/>
    </row>
    <row r="10" spans="1:11" s="116" customFormat="1" ht="82.5" customHeight="1">
      <c r="A10" s="215"/>
      <c r="B10" s="707" t="s">
        <v>2682</v>
      </c>
      <c r="C10" s="707"/>
      <c r="D10" s="707"/>
      <c r="G10" s="129"/>
    </row>
    <row r="11" spans="1:11" s="116" customFormat="1" ht="9.5" customHeight="1">
      <c r="A11" s="215"/>
      <c r="B11" s="61"/>
      <c r="C11" s="61"/>
      <c r="D11" s="61"/>
      <c r="G11" s="129"/>
    </row>
    <row r="12" spans="1:11" s="116" customFormat="1" ht="52.25" customHeight="1">
      <c r="A12" s="215"/>
      <c r="B12" s="707" t="s">
        <v>2684</v>
      </c>
      <c r="C12" s="707"/>
      <c r="D12" s="707"/>
      <c r="G12" s="129"/>
    </row>
    <row r="13" spans="1:11" ht="27.5" customHeight="1"/>
    <row r="14" spans="1:11" ht="13">
      <c r="A14" s="559" t="s">
        <v>90</v>
      </c>
      <c r="B14" s="560" t="s">
        <v>91</v>
      </c>
      <c r="C14" s="561" t="s">
        <v>503</v>
      </c>
      <c r="D14" s="562" t="s">
        <v>492</v>
      </c>
      <c r="E14" s="560" t="s">
        <v>488</v>
      </c>
      <c r="F14" s="563" t="s">
        <v>493</v>
      </c>
      <c r="G14" s="119"/>
      <c r="H14" s="124"/>
    </row>
    <row r="15" spans="1:11" ht="25.25" customHeight="1">
      <c r="A15" s="595" t="s">
        <v>2679</v>
      </c>
      <c r="B15" s="596" t="s">
        <v>2681</v>
      </c>
      <c r="C15" s="668" t="s">
        <v>2680</v>
      </c>
      <c r="D15" s="130">
        <v>12000</v>
      </c>
      <c r="E15" s="565"/>
      <c r="F15" s="566" t="str">
        <f>IF(TBL_PF_XX[[#This Row],[Shade?]]&lt;&gt;"", "N/A", IF(TBL_PF_XX[[#This Row],[Rate]]&lt;&gt;"", "Done", "Add"))</f>
        <v>Done</v>
      </c>
      <c r="G15" s="119"/>
      <c r="H15" s="124"/>
    </row>
  </sheetData>
  <sheetProtection algorithmName="SHA-512" hashValue="gQ35apn7ineXpRx7EaxRc4jngetG6l4tQqaIXzVJEjVv3SR6KN/9Em0yail8fYbr06g0eW6hvmfSmvbUV9scUw==" saltValue="lKps9JoHk83OF8qvE0VjEA==" spinCount="100000" sheet="1" objects="1" scenarios="1"/>
  <mergeCells count="3">
    <mergeCell ref="B10:D10"/>
    <mergeCell ref="B8:D8"/>
    <mergeCell ref="B12:D12"/>
  </mergeCells>
  <phoneticPr fontId="106" type="noConversion"/>
  <conditionalFormatting sqref="D1:D7 D9 D13:D1048576">
    <cfRule type="expression" dxfId="13" priority="2">
      <formula>INDIRECT("E"&amp;ROW())="Shade"</formula>
    </cfRule>
    <cfRule type="expression" dxfId="12" priority="3">
      <formula>INDIRECT("F"&amp;ROW())="Done"</formula>
    </cfRule>
    <cfRule type="expression" dxfId="11" priority="4">
      <formula>INDIRECT("F"&amp;ROW())="Add"</formula>
    </cfRule>
  </conditionalFormatting>
  <dataValidations count="1">
    <dataValidation type="decimal" operator="greaterThan" allowBlank="1" showInputMessage="1" showErrorMessage="1" sqref="D15" xr:uid="{E3FA0D66-2082-4A1E-BD92-A50778D86444}">
      <formula1>0</formula1>
    </dataValidation>
  </dataValidations>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D9F14-2824-4FA6-A921-F03FAE2ADD48}">
  <dimension ref="A1:H15"/>
  <sheetViews>
    <sheetView showGridLines="0" zoomScaleNormal="100" workbookViewId="0">
      <selection activeCell="J18" sqref="J18"/>
    </sheetView>
  </sheetViews>
  <sheetFormatPr defaultColWidth="9" defaultRowHeight="12.5"/>
  <cols>
    <col min="1" max="1" width="9.453125" style="119" customWidth="1"/>
    <col min="2" max="2" width="51.54296875" style="119" customWidth="1"/>
    <col min="3" max="3" width="10.6328125" style="119" customWidth="1"/>
    <col min="4" max="4" width="19.08984375" style="125" customWidth="1"/>
    <col min="5" max="5" width="0" style="119" hidden="1" customWidth="1"/>
    <col min="6" max="6" width="9.08984375" style="119" hidden="1" customWidth="1"/>
    <col min="7" max="7" width="10.08984375" style="124" hidden="1" customWidth="1"/>
    <col min="8" max="8" width="0" style="119" hidden="1" customWidth="1"/>
    <col min="9" max="16384" width="9" style="119"/>
  </cols>
  <sheetData>
    <row r="1" spans="1:8" s="343"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G1" s="554" t="str">
        <f>IF(COUNTIF(F:F, "Add")&gt;0, "Incomplete", "Complete")</f>
        <v>Complete</v>
      </c>
      <c r="H1" s="554">
        <v>7</v>
      </c>
    </row>
    <row r="2" spans="1:8" s="343" customFormat="1" ht="12.5" customHeight="1">
      <c r="A2" s="54" t="str">
        <f t="array" ref="A2">CONCATENATE(INDEX(TBL_DATA_00_Doc_Merge[Supplier_Type], MATCH(1, (REF_Doc_Lot=TBL_DATA_00_Doc_Merge[Lot])*(REF_Job_No=TBL_DATA_00_Doc_Merge[Job_No]),0)), ":")</f>
        <v>Supplier:</v>
      </c>
      <c r="B2" s="54" t="str">
        <f>Response!$A$2</f>
        <v>Purdy Contracts Ltd</v>
      </c>
      <c r="C2" s="54"/>
      <c r="D2" s="342"/>
      <c r="G2" s="348"/>
    </row>
    <row r="3" spans="1:8" s="343" customFormat="1" ht="12.5" customHeight="1">
      <c r="D3" s="342"/>
      <c r="G3" s="348"/>
    </row>
    <row r="4" spans="1:8" s="27" customFormat="1" ht="17.5">
      <c r="A4" s="91" t="str">
        <f>CONCATENATE("Price submission (", TBL_DATA_00_Doc_Merge[[#This Row],[PF_or_TB?]], ")")</f>
        <v>Price submission (Price Framework)</v>
      </c>
      <c r="C4" s="131"/>
      <c r="D4" s="36"/>
      <c r="G4" s="36"/>
    </row>
    <row r="5" spans="1:8" s="1" customFormat="1" ht="14">
      <c r="D5" s="30"/>
      <c r="G5" s="15"/>
    </row>
    <row r="6" spans="1:8" s="116" customFormat="1" ht="14">
      <c r="A6" s="215" t="s">
        <v>2676</v>
      </c>
      <c r="B6" s="300" t="s">
        <v>2247</v>
      </c>
      <c r="C6" s="302"/>
      <c r="D6" s="303"/>
      <c r="G6" s="129"/>
    </row>
    <row r="7" spans="1:8" s="116" customFormat="1" ht="14">
      <c r="A7" s="215"/>
      <c r="B7" s="300"/>
      <c r="C7" s="302"/>
      <c r="D7" s="303"/>
      <c r="G7" s="129"/>
    </row>
    <row r="8" spans="1:8" s="116" customFormat="1" ht="14">
      <c r="A8" s="215"/>
      <c r="B8" s="641" t="s">
        <v>2342</v>
      </c>
      <c r="C8" s="302"/>
      <c r="D8" s="303"/>
      <c r="G8" s="129"/>
    </row>
    <row r="10" spans="1:8" ht="13">
      <c r="A10" s="559" t="s">
        <v>90</v>
      </c>
      <c r="B10" s="560" t="s">
        <v>91</v>
      </c>
      <c r="C10" s="561" t="s">
        <v>503</v>
      </c>
      <c r="D10" s="562" t="s">
        <v>492</v>
      </c>
      <c r="E10" s="560" t="s">
        <v>488</v>
      </c>
      <c r="F10" s="563" t="s">
        <v>493</v>
      </c>
      <c r="G10" s="119"/>
      <c r="H10" s="124"/>
    </row>
    <row r="11" spans="1:8">
      <c r="A11" s="594" t="s">
        <v>2667</v>
      </c>
      <c r="B11" s="604" t="s">
        <v>2277</v>
      </c>
      <c r="C11" s="602" t="s">
        <v>2258</v>
      </c>
      <c r="D11" s="597">
        <v>0.1</v>
      </c>
      <c r="E11" s="565"/>
      <c r="F11" s="566" t="str">
        <f>IF(TBL_PF_X13[[#This Row],[Shade?]]&lt;&gt;"", "N/A", IF(TBL_PF_X13[[#This Row],[Rate]]&lt;&gt;"", "Done", "Add"))</f>
        <v>Done</v>
      </c>
      <c r="G11" s="119"/>
      <c r="H11" s="124"/>
    </row>
    <row r="12" spans="1:8">
      <c r="A12" s="594" t="s">
        <v>2668</v>
      </c>
      <c r="B12" s="605" t="s">
        <v>2278</v>
      </c>
      <c r="C12" s="602" t="s">
        <v>2258</v>
      </c>
      <c r="D12" s="607">
        <v>4.7E-2</v>
      </c>
      <c r="E12" s="598"/>
      <c r="F12" s="600" t="str">
        <f>IF(TBL_PF_X13[[#This Row],[Shade?]]&lt;&gt;"", "N/A", IF(TBL_PF_X13[[#This Row],[Rate]]&lt;&gt;"", "Done", "Add"))</f>
        <v>Done</v>
      </c>
      <c r="G12" s="119"/>
      <c r="H12" s="124"/>
    </row>
    <row r="13" spans="1:8">
      <c r="A13" s="594" t="s">
        <v>2669</v>
      </c>
      <c r="B13" s="605" t="s">
        <v>2279</v>
      </c>
      <c r="C13" s="602" t="s">
        <v>2258</v>
      </c>
      <c r="D13" s="607">
        <v>0.08</v>
      </c>
      <c r="E13" s="598"/>
      <c r="F13" s="600" t="str">
        <f>IF(TBL_PF_X13[[#This Row],[Shade?]]&lt;&gt;"", "N/A", IF(TBL_PF_X13[[#This Row],[Rate]]&lt;&gt;"", "Done", "Add"))</f>
        <v>Done</v>
      </c>
      <c r="G13" s="119"/>
      <c r="H13" s="124"/>
    </row>
    <row r="14" spans="1:8">
      <c r="A14" s="594" t="s">
        <v>2670</v>
      </c>
      <c r="B14" s="605" t="s">
        <v>2686</v>
      </c>
      <c r="C14" s="602" t="s">
        <v>1975</v>
      </c>
      <c r="D14" s="599">
        <v>5000</v>
      </c>
      <c r="E14" s="598"/>
      <c r="F14" s="600" t="str">
        <f>IF(TBL_PF_X13[[#This Row],[Shade?]]&lt;&gt;"", "N/A", IF(TBL_PF_X13[[#This Row],[Rate]]&lt;&gt;"", "Done", "Add"))</f>
        <v>Done</v>
      </c>
      <c r="G14" s="119"/>
      <c r="H14" s="124"/>
    </row>
    <row r="15" spans="1:8" ht="25">
      <c r="A15" s="594" t="s">
        <v>2671</v>
      </c>
      <c r="B15" s="605" t="s">
        <v>2685</v>
      </c>
      <c r="C15" s="606" t="s">
        <v>1975</v>
      </c>
      <c r="D15" s="599">
        <v>3000</v>
      </c>
      <c r="E15" s="598"/>
      <c r="F15" s="600" t="str">
        <f>IF(TBL_PF_X13[[#This Row],[Shade?]]&lt;&gt;"", "N/A", IF(TBL_PF_X13[[#This Row],[Rate]]&lt;&gt;"", "Done", "Add"))</f>
        <v>Done</v>
      </c>
      <c r="G15" s="119"/>
      <c r="H15" s="124"/>
    </row>
  </sheetData>
  <sheetProtection algorithmName="SHA-512" hashValue="z41zPlpLDrE/GThbrkz39ysZRTz0b0fqGGbj83as613hbo8z+Pr/FxOTlqPdhYJz5B8qsplkhJhFcBdmF2ewsQ==" saltValue="fWcnV3vTOUQQ2iVGq28q1A==" spinCount="100000" sheet="1" objects="1" scenarios="1"/>
  <phoneticPr fontId="106" type="noConversion"/>
  <conditionalFormatting sqref="D1:D1048576">
    <cfRule type="expression" dxfId="10" priority="1">
      <formula>INDIRECT("E"&amp;ROW())="Shade"</formula>
    </cfRule>
    <cfRule type="expression" dxfId="9" priority="2">
      <formula>INDIRECT("F"&amp;ROW())="Done"</formula>
    </cfRule>
    <cfRule type="expression" dxfId="8" priority="3">
      <formula>INDIRECT("F"&amp;ROW())="Add"</formula>
    </cfRule>
  </conditionalFormatting>
  <dataValidations count="2">
    <dataValidation type="decimal" operator="greaterThanOrEqual" allowBlank="1" showInputMessage="1" showErrorMessage="1" sqref="D11:D13" xr:uid="{09D8AD56-06BB-442C-B694-A1EB154BBC6F}">
      <formula1>-1</formula1>
    </dataValidation>
    <dataValidation type="decimal" operator="greaterThan" allowBlank="1" showInputMessage="1" showErrorMessage="1" sqref="D14:D15" xr:uid="{733CEC9B-621D-4C34-B9B9-E3A3A36D58B0}">
      <formula1>0</formula1>
    </dataValidation>
  </dataValidations>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7D9B4-23BC-478E-884B-0CE1F9CEC2F3}">
  <dimension ref="A1:H15"/>
  <sheetViews>
    <sheetView showGridLines="0" topLeftCell="K1" zoomScaleNormal="100" workbookViewId="0">
      <selection activeCell="J1" sqref="A1:J1048576"/>
    </sheetView>
  </sheetViews>
  <sheetFormatPr defaultColWidth="9" defaultRowHeight="12.5"/>
  <cols>
    <col min="1" max="1" width="9.453125" style="119" hidden="1" customWidth="1"/>
    <col min="2" max="2" width="51.54296875" style="119" hidden="1" customWidth="1"/>
    <col min="3" max="3" width="10.6328125" style="119" hidden="1" customWidth="1"/>
    <col min="4" max="4" width="19.08984375" style="125" hidden="1" customWidth="1"/>
    <col min="5" max="5" width="0" style="119" hidden="1" customWidth="1"/>
    <col min="6" max="6" width="9.08984375" style="119" hidden="1" customWidth="1"/>
    <col min="7" max="7" width="10.08984375" style="124" hidden="1" customWidth="1"/>
    <col min="8" max="10" width="0" style="119" hidden="1" customWidth="1"/>
    <col min="11" max="16384" width="9" style="119"/>
  </cols>
  <sheetData>
    <row r="1" spans="1:8" s="343"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G1" s="554" t="str">
        <f>IF(COUNTIF(E:F, "Add")&gt;0, "Incomplete", "Complete")</f>
        <v>Incomplete</v>
      </c>
      <c r="H1" s="554">
        <v>1</v>
      </c>
    </row>
    <row r="2" spans="1:8" s="343" customFormat="1" ht="12.5" customHeight="1">
      <c r="A2" s="54" t="str">
        <f t="array" ref="A2">CONCATENATE(INDEX(TBL_DATA_00_Doc_Merge[Supplier_Type], MATCH(1, (REF_Doc_Lot=TBL_DATA_00_Doc_Merge[Lot])*(REF_Job_No=TBL_DATA_00_Doc_Merge[Job_No]),0)), ":")</f>
        <v>Supplier:</v>
      </c>
      <c r="B2" s="54" t="str">
        <f>Response!$A$2</f>
        <v>Purdy Contracts Ltd</v>
      </c>
      <c r="C2" s="54"/>
      <c r="D2" s="342"/>
      <c r="G2" s="348"/>
    </row>
    <row r="3" spans="1:8" s="343" customFormat="1" ht="12.5" customHeight="1">
      <c r="D3" s="342"/>
      <c r="G3" s="348"/>
    </row>
    <row r="4" spans="1:8" s="27" customFormat="1" ht="17.5">
      <c r="A4" s="91" t="s">
        <v>491</v>
      </c>
      <c r="B4" s="91" t="str">
        <f>CONCATENATE("Price submission (", TBL_DATA_00_Doc_Merge[[#This Row],[PF_or_TB?]], ")")</f>
        <v>Price submission (Price Framework)</v>
      </c>
      <c r="C4" s="131"/>
      <c r="D4" s="36"/>
      <c r="G4" s="36"/>
    </row>
    <row r="5" spans="1:8" s="1" customFormat="1" ht="14">
      <c r="D5" s="30"/>
      <c r="G5" s="15"/>
    </row>
    <row r="6" spans="1:8" s="116" customFormat="1" ht="14">
      <c r="A6" s="215" t="str">
        <f>"Section "&amp;$H$1</f>
        <v>Section 1</v>
      </c>
      <c r="B6" s="300" t="str">
        <f t="array" ref="B6">IFERROR(IF(INDEX(TBL_ADD_05_Prices_All[Description], MATCH(1, (TBL_ADD_05_Prices_All[Check_1]="")*(TBL_ADD_05_Prices_All[Ref]=$H$1),0))&lt;&gt;"", INDEX(TBL_ADD_05_Prices_All[Description], MATCH(1, (TBL_ADD_05_Prices_All[Check_1]="")*(TBL_ADD_05_Prices_All[Ref]=$H$1),0)), "[Complete pricing tables on 'Doc_Tables 3' tab]"), "[Complete pricing tables on 'Doc_Tables 3' tab]")</f>
        <v xml:space="preserve">NHF Schedule of Rates Repairs Adjustment </v>
      </c>
      <c r="C6" s="302"/>
      <c r="D6" s="303"/>
      <c r="G6" s="129"/>
    </row>
    <row r="8" spans="1:8" ht="13">
      <c r="A8" s="559" t="s">
        <v>90</v>
      </c>
      <c r="B8" s="560" t="s">
        <v>91</v>
      </c>
      <c r="C8" s="561" t="s">
        <v>503</v>
      </c>
      <c r="D8" s="562" t="s">
        <v>492</v>
      </c>
      <c r="E8" s="560" t="s">
        <v>488</v>
      </c>
      <c r="F8" s="563" t="s">
        <v>493</v>
      </c>
      <c r="G8" s="119"/>
      <c r="H8" s="124"/>
    </row>
    <row r="9" spans="1:8">
      <c r="A9" s="564" t="s">
        <v>494</v>
      </c>
      <c r="B9" s="565"/>
      <c r="C9" s="565"/>
      <c r="D9" s="130"/>
      <c r="E9" s="565"/>
      <c r="F9" s="566" t="str">
        <f>IF(TBL_PF_X15[[#This Row],[Shade?]]&lt;&gt;"", "N/A", IF(TBL_PF_X15[[#This Row],[Rate]]&lt;&gt;"", "Done", "Add"))</f>
        <v>Add</v>
      </c>
      <c r="G9" s="119"/>
      <c r="H9" s="124"/>
    </row>
    <row r="10" spans="1:8">
      <c r="A10" s="564" t="s">
        <v>495</v>
      </c>
      <c r="B10" s="565"/>
      <c r="C10" s="565"/>
      <c r="D10" s="130"/>
      <c r="E10" s="565"/>
      <c r="F10" s="566" t="str">
        <f>IF(TBL_PF_X15[[#This Row],[Shade?]]&lt;&gt;"", "N/A", IF(TBL_PF_X15[[#This Row],[Rate]]&lt;&gt;"", "Done", "Add"))</f>
        <v>Add</v>
      </c>
      <c r="G10" s="119"/>
      <c r="H10" s="124"/>
    </row>
    <row r="11" spans="1:8">
      <c r="A11" s="564" t="s">
        <v>496</v>
      </c>
      <c r="B11" s="565"/>
      <c r="C11" s="565"/>
      <c r="D11" s="130"/>
      <c r="E11" s="565"/>
      <c r="F11" s="566" t="str">
        <f>IF(TBL_PF_X15[[#This Row],[Shade?]]&lt;&gt;"", "N/A", IF(TBL_PF_X15[[#This Row],[Rate]]&lt;&gt;"", "Done", "Add"))</f>
        <v>Add</v>
      </c>
    </row>
    <row r="12" spans="1:8">
      <c r="A12" s="564" t="s">
        <v>497</v>
      </c>
      <c r="B12" s="565"/>
      <c r="C12" s="565"/>
      <c r="D12" s="130"/>
      <c r="E12" s="565"/>
      <c r="F12" s="566" t="str">
        <f>IF(TBL_PF_X15[[#This Row],[Shade?]]&lt;&gt;"", "N/A", IF(TBL_PF_X15[[#This Row],[Rate]]&lt;&gt;"", "Done", "Add"))</f>
        <v>Add</v>
      </c>
    </row>
    <row r="13" spans="1:8">
      <c r="A13" s="567" t="s">
        <v>498</v>
      </c>
      <c r="B13" s="568"/>
      <c r="C13" s="568"/>
      <c r="D13" s="569"/>
      <c r="E13" s="568"/>
      <c r="F13" s="570" t="str">
        <f>IF(TBL_PF_X15[[#This Row],[Shade?]]&lt;&gt;"", "N/A", IF(TBL_PF_X15[[#This Row],[Rate]]&lt;&gt;"", "Done", "Add"))</f>
        <v>Add</v>
      </c>
    </row>
    <row r="15" spans="1:8" s="126" customFormat="1" ht="25.25" customHeight="1">
      <c r="C15" s="127" t="s">
        <v>499</v>
      </c>
      <c r="D15" s="128" t="str">
        <f>IF(COUNTIF(TBL_PF_X15[Check?], "Add")&gt;0, "Missing info", ROUND(SUM(TBL_PF_X15[Rate]), 2))</f>
        <v>Missing info</v>
      </c>
      <c r="G15" s="125"/>
    </row>
  </sheetData>
  <sheetProtection algorithmName="SHA-512" hashValue="CPbmkRjF3a6Cwns3qsI85BIPB/f7o34zJ7PcrM55pgXTt4HvyCa5xvExJ3JtrOyDTWYExwZg0SX+ww8FH9TX7w==" saltValue="oH7aomnLEFeAy2oCIcNxPg==" spinCount="100000" sheet="1" objects="1" scenarios="1"/>
  <conditionalFormatting sqref="D1:D1048576">
    <cfRule type="expression" dxfId="7" priority="1">
      <formula>INDIRECT("E"&amp;ROW())="Shade"</formula>
    </cfRule>
    <cfRule type="expression" dxfId="6" priority="2">
      <formula>INDIRECT("F"&amp;ROW())="Done"</formula>
    </cfRule>
    <cfRule type="expression" dxfId="5" priority="3">
      <formula>INDIRECT("F"&amp;ROW())="Add"</formula>
    </cfRule>
  </conditionalFormatting>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95807-27B1-415F-A244-90C306B237EA}">
  <dimension ref="A1:H15"/>
  <sheetViews>
    <sheetView showGridLines="0" topLeftCell="J1" zoomScaleNormal="100" workbookViewId="0">
      <selection activeCell="U15" sqref="U15"/>
    </sheetView>
  </sheetViews>
  <sheetFormatPr defaultColWidth="9" defaultRowHeight="12.5"/>
  <cols>
    <col min="1" max="1" width="9.453125" style="119" hidden="1" customWidth="1"/>
    <col min="2" max="2" width="51.54296875" style="119" hidden="1" customWidth="1"/>
    <col min="3" max="3" width="10.6328125" style="119" hidden="1" customWidth="1"/>
    <col min="4" max="4" width="19.08984375" style="125" hidden="1" customWidth="1"/>
    <col min="5" max="5" width="0" style="119" hidden="1" customWidth="1"/>
    <col min="6" max="6" width="9.08984375" style="119" hidden="1" customWidth="1"/>
    <col min="7" max="7" width="10.08984375" style="124" hidden="1" customWidth="1"/>
    <col min="8" max="9" width="0" style="119" hidden="1" customWidth="1"/>
    <col min="10" max="16384" width="9" style="119"/>
  </cols>
  <sheetData>
    <row r="1" spans="1:8" s="343"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94"/>
      <c r="C1" s="29"/>
      <c r="D1" s="342"/>
      <c r="G1" s="554" t="str">
        <f>IF(COUNTIF(E:F, "Add")&gt;0, "Incomplete", "Complete")</f>
        <v>Incomplete</v>
      </c>
      <c r="H1" s="554">
        <v>1</v>
      </c>
    </row>
    <row r="2" spans="1:8" s="343" customFormat="1" ht="12.5" customHeight="1">
      <c r="A2" s="54" t="str">
        <f t="array" ref="A2">CONCATENATE(INDEX(TBL_DATA_00_Doc_Merge[Supplier_Type], MATCH(1, (REF_Doc_Lot=TBL_DATA_00_Doc_Merge[Lot])*(REF_Job_No=TBL_DATA_00_Doc_Merge[Job_No]),0)), ":")</f>
        <v>Supplier:</v>
      </c>
      <c r="B2" s="54" t="str">
        <f>Response!$A$2</f>
        <v>Purdy Contracts Ltd</v>
      </c>
      <c r="C2" s="54"/>
      <c r="D2" s="342"/>
      <c r="G2" s="348"/>
    </row>
    <row r="3" spans="1:8" s="343" customFormat="1" ht="12.5" customHeight="1">
      <c r="D3" s="342"/>
      <c r="G3" s="348"/>
    </row>
    <row r="4" spans="1:8" s="27" customFormat="1" ht="17.5">
      <c r="A4" s="91" t="s">
        <v>491</v>
      </c>
      <c r="B4" s="91" t="str">
        <f>CONCATENATE("Price submission (", TBL_DATA_00_Doc_Merge[[#This Row],[PF_or_TB?]], ")")</f>
        <v>Price submission (Price Framework)</v>
      </c>
      <c r="C4" s="131"/>
      <c r="D4" s="36"/>
      <c r="G4" s="36"/>
    </row>
    <row r="5" spans="1:8" s="1" customFormat="1" ht="14">
      <c r="D5" s="30"/>
      <c r="G5" s="15"/>
    </row>
    <row r="6" spans="1:8" s="116" customFormat="1" ht="14">
      <c r="A6" s="215" t="str">
        <f>"Section "&amp;$H$1</f>
        <v>Section 1</v>
      </c>
      <c r="B6" s="300" t="str">
        <f t="array" ref="B6">IFERROR(IF(INDEX(TBL_ADD_05_Prices_All[Description], MATCH(1, (TBL_ADD_05_Prices_All[Check_1]="")*(TBL_ADD_05_Prices_All[Ref]=$H$1),0))&lt;&gt;"", INDEX(TBL_ADD_05_Prices_All[Description], MATCH(1, (TBL_ADD_05_Prices_All[Check_1]="")*(TBL_ADD_05_Prices_All[Ref]=$H$1),0)), "[Complete pricing tables on 'Doc_Tables 3' tab]"), "[Complete pricing tables on 'Doc_Tables 3' tab]")</f>
        <v xml:space="preserve">NHF Schedule of Rates Repairs Adjustment </v>
      </c>
      <c r="C6" s="302"/>
      <c r="D6" s="303"/>
      <c r="G6" s="129"/>
    </row>
    <row r="8" spans="1:8" ht="13">
      <c r="A8" s="559" t="s">
        <v>90</v>
      </c>
      <c r="B8" s="560" t="s">
        <v>91</v>
      </c>
      <c r="C8" s="561" t="s">
        <v>503</v>
      </c>
      <c r="D8" s="562" t="s">
        <v>492</v>
      </c>
      <c r="E8" s="560" t="s">
        <v>488</v>
      </c>
      <c r="F8" s="563" t="s">
        <v>493</v>
      </c>
      <c r="G8" s="119"/>
      <c r="H8" s="124"/>
    </row>
    <row r="9" spans="1:8">
      <c r="A9" s="564" t="s">
        <v>494</v>
      </c>
      <c r="B9" s="565"/>
      <c r="C9" s="565"/>
      <c r="D9" s="130"/>
      <c r="E9" s="565"/>
      <c r="F9" s="566" t="str">
        <f>IF(TBL_PF_X16[[#This Row],[Shade?]]&lt;&gt;"", "N/A", IF(TBL_PF_X16[[#This Row],[Rate]]&lt;&gt;"", "Done", "Add"))</f>
        <v>Add</v>
      </c>
      <c r="G9" s="119"/>
      <c r="H9" s="124"/>
    </row>
    <row r="10" spans="1:8">
      <c r="A10" s="564" t="s">
        <v>495</v>
      </c>
      <c r="B10" s="565"/>
      <c r="C10" s="565"/>
      <c r="D10" s="130"/>
      <c r="E10" s="565"/>
      <c r="F10" s="566" t="str">
        <f>IF(TBL_PF_X16[[#This Row],[Shade?]]&lt;&gt;"", "N/A", IF(TBL_PF_X16[[#This Row],[Rate]]&lt;&gt;"", "Done", "Add"))</f>
        <v>Add</v>
      </c>
      <c r="G10" s="119"/>
      <c r="H10" s="124"/>
    </row>
    <row r="11" spans="1:8">
      <c r="A11" s="564" t="s">
        <v>496</v>
      </c>
      <c r="B11" s="565"/>
      <c r="C11" s="565"/>
      <c r="D11" s="130"/>
      <c r="E11" s="565"/>
      <c r="F11" s="566" t="str">
        <f>IF(TBL_PF_X16[[#This Row],[Shade?]]&lt;&gt;"", "N/A", IF(TBL_PF_X16[[#This Row],[Rate]]&lt;&gt;"", "Done", "Add"))</f>
        <v>Add</v>
      </c>
    </row>
    <row r="12" spans="1:8">
      <c r="A12" s="564" t="s">
        <v>497</v>
      </c>
      <c r="B12" s="565"/>
      <c r="C12" s="565"/>
      <c r="D12" s="130"/>
      <c r="E12" s="565"/>
      <c r="F12" s="566" t="str">
        <f>IF(TBL_PF_X16[[#This Row],[Shade?]]&lt;&gt;"", "N/A", IF(TBL_PF_X16[[#This Row],[Rate]]&lt;&gt;"", "Done", "Add"))</f>
        <v>Add</v>
      </c>
    </row>
    <row r="13" spans="1:8">
      <c r="A13" s="567" t="s">
        <v>498</v>
      </c>
      <c r="B13" s="568"/>
      <c r="C13" s="568"/>
      <c r="D13" s="569"/>
      <c r="E13" s="568"/>
      <c r="F13" s="570" t="str">
        <f>IF(TBL_PF_X16[[#This Row],[Shade?]]&lt;&gt;"", "N/A", IF(TBL_PF_X16[[#This Row],[Rate]]&lt;&gt;"", "Done", "Add"))</f>
        <v>Add</v>
      </c>
    </row>
    <row r="15" spans="1:8" s="126" customFormat="1" ht="25.25" customHeight="1">
      <c r="C15" s="127" t="s">
        <v>499</v>
      </c>
      <c r="D15" s="128" t="str">
        <f>IF(COUNTIF(TBL_PF_X16[Check?], "Add")&gt;0, "Missing info", ROUND(SUM(TBL_PF_X16[Rate]), 2))</f>
        <v>Missing info</v>
      </c>
      <c r="G15" s="125"/>
    </row>
  </sheetData>
  <sheetProtection algorithmName="SHA-512" hashValue="1tSs6D12C7MfVgXwHc6MuNBWKKmIilyiZI8gd5uBxnr6c5h8pCCywkF2BNpsS2z4bj7X9POLcISFSTAFq1bHjg==" saltValue="FCS9ktmBqbUW5TI3nx5/eA==" spinCount="100000" sheet="1" objects="1" scenarios="1"/>
  <conditionalFormatting sqref="D1:D1048576">
    <cfRule type="expression" dxfId="4" priority="1">
      <formula>INDIRECT("E"&amp;ROW())="Shade"</formula>
    </cfRule>
    <cfRule type="expression" dxfId="3" priority="2">
      <formula>INDIRECT("F"&amp;ROW())="Done"</formula>
    </cfRule>
    <cfRule type="expression" dxfId="2" priority="3">
      <formula>INDIRECT("F"&amp;ROW())="Add"</formula>
    </cfRule>
  </conditionalFormatting>
  <pageMargins left="0.78740157480314965" right="0.78740157480314965" top="0.39370078740157483" bottom="0.78740157480314965" header="0" footer="0.39370078740157483"/>
  <pageSetup paperSize="9" orientation="landscape" r:id="rId1"/>
  <headerFooter>
    <oddFooter>&amp;C&amp;"Arial,Regular"&amp;10&amp;K00-049&amp;P</oddFooter>
  </headerFooter>
  <tableParts count="1">
    <tablePart r:id="rId2"/>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78682-C62C-43F9-9220-B37381A77EA8}">
  <sheetPr codeName="Sheet57"/>
  <dimension ref="A1:L23"/>
  <sheetViews>
    <sheetView showGridLines="0" zoomScaleNormal="100" workbookViewId="0">
      <selection activeCell="D19" sqref="D19"/>
    </sheetView>
  </sheetViews>
  <sheetFormatPr defaultColWidth="9" defaultRowHeight="12.5"/>
  <cols>
    <col min="1" max="1" width="9.453125" style="119" customWidth="1"/>
    <col min="2" max="2" width="19" style="119" customWidth="1"/>
    <col min="3" max="3" width="29.36328125" style="119" customWidth="1"/>
    <col min="4" max="4" width="19.90625" style="124" customWidth="1"/>
    <col min="5" max="6" width="8" style="132" hidden="1" customWidth="1"/>
    <col min="7" max="7" width="7.36328125" style="132" hidden="1" customWidth="1"/>
    <col min="8" max="8" width="4.6328125" style="132" hidden="1" customWidth="1"/>
    <col min="9" max="9" width="6.36328125" style="132" hidden="1" customWidth="1"/>
    <col min="10" max="11" width="0" style="119" hidden="1" customWidth="1"/>
    <col min="12" max="16384" width="9" style="119"/>
  </cols>
  <sheetData>
    <row r="1" spans="1:12" s="343" customFormat="1" ht="12.5" customHeight="1">
      <c r="A1" s="54" t="str">
        <f t="array" ref="A1">CONCATENATE(INDEX(TBL_DATA_00_Doc_Merge[Tender_Type], MATCH(1, (REF_Doc_Lot=TBL_DATA_00_Doc_Merge[Lot])*(REF_Job_No=TBL_DATA_00_Doc_Merge[Job_No]),0)), " submission for ", INDEX(TBL_DATA_00_Doc_Merge[Client], MATCH(1, (REF_Doc_Lot=TBL_DATA_00_Doc_Merge[Lot])*(REF_Job_No=TBL_DATA_00_Doc_Merge[Job_No]),0)), " - ", INDEX(TBL_DATA_00_Doc_Merge[Project_Title], MATCH(1, (REF_Doc_Lot=TBL_DATA_00_Doc_Merge[Lot])*(REF_Job_No=TBL_DATA_00_Doc_Merge[Job_No]),0)), " (", REF_Job_No, ")")</f>
        <v>Tender submission for Royal Greenwich - Major and Responsive Repairs and Void Refurbishment Contract ()</v>
      </c>
      <c r="B1" s="54"/>
      <c r="C1" s="94"/>
      <c r="D1" s="348"/>
      <c r="E1" s="94"/>
      <c r="F1" s="94"/>
      <c r="G1" s="94"/>
      <c r="H1" s="94"/>
      <c r="I1" s="94"/>
    </row>
    <row r="2" spans="1:12" s="343" customFormat="1" ht="12.5" customHeight="1">
      <c r="A2" s="54" t="str">
        <f t="array" ref="A2">CONCATENATE(INDEX(TBL_DATA_00_Doc_Merge[Supplier_Type], MATCH(1, (REF_Doc_Lot=TBL_DATA_00_Doc_Merge[Lot])*(REF_Job_No=TBL_DATA_00_Doc_Merge[Job_No]),0)), ":")</f>
        <v>Supplier:</v>
      </c>
      <c r="B2" s="54" t="str">
        <f>Response!$A$2</f>
        <v>Purdy Contracts Ltd</v>
      </c>
      <c r="C2" s="54"/>
      <c r="D2" s="348"/>
      <c r="E2" s="94"/>
      <c r="F2" s="94"/>
      <c r="G2" s="94"/>
      <c r="H2" s="94"/>
      <c r="I2" s="94"/>
    </row>
    <row r="3" spans="1:12" s="343" customFormat="1" ht="12.5" customHeight="1">
      <c r="D3" s="348"/>
      <c r="E3" s="94"/>
      <c r="F3" s="94"/>
      <c r="G3" s="94"/>
      <c r="H3" s="94"/>
      <c r="I3" s="94"/>
    </row>
    <row r="4" spans="1:12" s="131" customFormat="1" ht="17.5">
      <c r="A4" s="91" t="str">
        <f>CONCATENATE("Price submission (", TBL_DATA_00_Doc_Merge[[#This Row],[PF_or_TB?]], ")")</f>
        <v>Price submission (Price Framework)</v>
      </c>
      <c r="D4" s="354"/>
      <c r="E4" s="110"/>
      <c r="F4" s="110"/>
      <c r="G4" s="110"/>
      <c r="H4" s="110"/>
      <c r="I4" s="110"/>
    </row>
    <row r="5" spans="1:12" s="116" customFormat="1" ht="14">
      <c r="A5" s="121"/>
      <c r="D5" s="129"/>
      <c r="E5" s="117"/>
      <c r="F5" s="117"/>
      <c r="G5" s="117"/>
      <c r="H5" s="117"/>
      <c r="I5" s="117"/>
    </row>
    <row r="6" spans="1:12" s="116" customFormat="1" ht="14">
      <c r="A6" s="301" t="str">
        <f>CONCATENATE(TBL_DATA_00_Doc_Merge[[#This Row],[PF_or_TB?]], " - Summary")</f>
        <v>Price Framework - Summary</v>
      </c>
      <c r="D6" s="129"/>
      <c r="E6" s="117"/>
      <c r="F6" s="117"/>
      <c r="G6" s="117"/>
      <c r="H6" s="117"/>
      <c r="I6" s="117"/>
    </row>
    <row r="7" spans="1:12" ht="13">
      <c r="E7" s="518" t="s">
        <v>487</v>
      </c>
      <c r="F7" s="518"/>
      <c r="G7" s="518" t="s">
        <v>488</v>
      </c>
      <c r="H7" s="518" t="s">
        <v>2161</v>
      </c>
      <c r="I7" s="518" t="s">
        <v>2162</v>
      </c>
    </row>
    <row r="8" spans="1:12" ht="14" customHeight="1">
      <c r="A8" s="708" t="str">
        <f t="array" ref="A8">IF(REF_Lotted="Yes", CONCATENATE(SUBSTITUTE(H8, "_", " "), ": ", INDEX(TBL_DATA_01_Lot_Info[Name], MATCH(1, (REF_Doc_Lot=TBL_DATA_01_Lot_Info[Lot])*("Yes"=TBL_DATA_01_Lot_Info[Include?]), 0))), "Summary for evaluation")</f>
        <v>Summary for evaluation</v>
      </c>
      <c r="B8" s="709"/>
      <c r="C8" s="709"/>
      <c r="D8" s="710"/>
      <c r="G8" s="132" t="str">
        <f>IF($I$8="Yes", "", "Shade")</f>
        <v/>
      </c>
      <c r="H8" s="298" t="str">
        <f>REF_Doc_Lot</f>
        <v>All</v>
      </c>
      <c r="I8" s="553" t="str">
        <f>IF(REF_Lotted="No", "Yes", IF(REF_Doc_Lot="All", "No", "Yes"))</f>
        <v>Yes</v>
      </c>
    </row>
    <row r="9" spans="1:12" ht="18.5" customHeight="1">
      <c r="A9" s="658" t="s">
        <v>90</v>
      </c>
      <c r="B9" s="660" t="s">
        <v>2650</v>
      </c>
      <c r="C9" s="660" t="s">
        <v>2656</v>
      </c>
      <c r="D9" s="660" t="s">
        <v>500</v>
      </c>
      <c r="E9" s="552" t="s">
        <v>487</v>
      </c>
      <c r="G9" s="132" t="str">
        <f>IF($I$8="Yes", "", "Shade")</f>
        <v/>
      </c>
    </row>
    <row r="10" spans="1:12" ht="25.5">
      <c r="A10" s="651">
        <v>1</v>
      </c>
      <c r="B10" s="659" t="s">
        <v>2337</v>
      </c>
      <c r="C10" s="652" t="s">
        <v>2634</v>
      </c>
      <c r="D10" s="130">
        <f>TOTAL_NHF_REPAIRS</f>
        <v>451250</v>
      </c>
      <c r="E10" s="298"/>
      <c r="G10" s="132" t="str">
        <f>IF($I$8="Yes", "", "Shade")</f>
        <v/>
      </c>
      <c r="L10" s="667"/>
    </row>
    <row r="11" spans="1:12" ht="25.5">
      <c r="A11" s="651">
        <v>2</v>
      </c>
      <c r="B11" s="655"/>
      <c r="C11" s="653" t="s">
        <v>2636</v>
      </c>
      <c r="D11" s="130">
        <f>TOTAL_REP_ELEC</f>
        <v>69017.5</v>
      </c>
      <c r="E11" s="298"/>
      <c r="L11" s="667"/>
    </row>
    <row r="12" spans="1:12" ht="13">
      <c r="A12" s="651">
        <v>3</v>
      </c>
      <c r="B12" s="655"/>
      <c r="C12" s="653" t="s">
        <v>2638</v>
      </c>
      <c r="D12" s="130">
        <f>TOTAL_REP_DECENT</f>
        <v>44650</v>
      </c>
      <c r="E12" s="298"/>
      <c r="L12" s="667"/>
    </row>
    <row r="13" spans="1:12" ht="13" hidden="1">
      <c r="A13" s="651"/>
      <c r="B13" s="655"/>
      <c r="C13" s="657" t="s">
        <v>2640</v>
      </c>
      <c r="D13" s="644">
        <f>IF(COUNTIF(D10:D12,"Missing info")&gt;0,"Missing info",SUM(D10:D12))</f>
        <v>564917.5</v>
      </c>
      <c r="E13" s="132" t="s">
        <v>467</v>
      </c>
      <c r="L13" s="667"/>
    </row>
    <row r="14" spans="1:12" ht="25.5">
      <c r="A14" s="651">
        <v>4</v>
      </c>
      <c r="B14" s="654" t="s">
        <v>2338</v>
      </c>
      <c r="C14" s="653" t="s">
        <v>2635</v>
      </c>
      <c r="D14" s="130">
        <f>TOTAL_NHF_VOIDS</f>
        <v>617500</v>
      </c>
      <c r="E14" s="298"/>
      <c r="G14" s="132" t="str">
        <f>IF($I$8="Yes", "", "Shade")</f>
        <v/>
      </c>
      <c r="L14" s="667"/>
    </row>
    <row r="15" spans="1:12" ht="13">
      <c r="A15" s="651">
        <v>5</v>
      </c>
      <c r="B15" s="655"/>
      <c r="C15" s="653" t="s">
        <v>2595</v>
      </c>
      <c r="D15" s="130">
        <f>TOTAL_VOIDBASKETS</f>
        <v>462293.75</v>
      </c>
      <c r="E15" s="298"/>
      <c r="L15" s="667"/>
    </row>
    <row r="16" spans="1:12" ht="13">
      <c r="A16" s="651">
        <v>6</v>
      </c>
      <c r="B16" s="655"/>
      <c r="C16" s="653" t="s">
        <v>2637</v>
      </c>
      <c r="D16" s="130">
        <f>TOTAL_VOID_ELEC</f>
        <v>69017.5</v>
      </c>
      <c r="E16" s="298"/>
      <c r="L16" s="667"/>
    </row>
    <row r="17" spans="1:12" ht="13">
      <c r="A17" s="651">
        <v>7</v>
      </c>
      <c r="B17" s="661"/>
      <c r="C17" s="653" t="s">
        <v>2639</v>
      </c>
      <c r="D17" s="130">
        <f>TOTAL_VOID_DECENT</f>
        <v>44650</v>
      </c>
      <c r="E17" s="298"/>
      <c r="L17" s="667"/>
    </row>
    <row r="18" spans="1:12" ht="13" hidden="1">
      <c r="A18" s="651"/>
      <c r="B18" s="656"/>
      <c r="C18" s="657" t="s">
        <v>2641</v>
      </c>
      <c r="D18" s="644">
        <f>IF(COUNTIF(D14:D17,"Missing info")&gt;0,"Missing info",SUM(D14:D17))</f>
        <v>1193461.25</v>
      </c>
      <c r="E18" s="132" t="s">
        <v>467</v>
      </c>
      <c r="L18" s="667"/>
    </row>
    <row r="19" spans="1:12" ht="13">
      <c r="A19" s="650">
        <v>8</v>
      </c>
      <c r="B19" s="648" t="s">
        <v>2339</v>
      </c>
      <c r="C19" s="596" t="s">
        <v>2246</v>
      </c>
      <c r="D19" s="664">
        <f>TOTAL_DAYWORK</f>
        <v>49348</v>
      </c>
      <c r="E19" s="132" t="s">
        <v>467</v>
      </c>
      <c r="G19" s="132" t="str">
        <f>IF($I$8="Yes", "", "Shade")</f>
        <v/>
      </c>
      <c r="L19" s="667"/>
    </row>
    <row r="20" spans="1:12" ht="13">
      <c r="A20" s="650">
        <v>9</v>
      </c>
      <c r="B20" s="649" t="s">
        <v>2657</v>
      </c>
      <c r="C20" s="596" t="s">
        <v>2245</v>
      </c>
      <c r="D20" s="130" t="s">
        <v>24</v>
      </c>
      <c r="E20" s="132" t="s">
        <v>467</v>
      </c>
    </row>
    <row r="21" spans="1:12" ht="13">
      <c r="A21" s="650">
        <v>10</v>
      </c>
      <c r="B21" s="648" t="s">
        <v>2340</v>
      </c>
      <c r="C21" s="596" t="s">
        <v>2247</v>
      </c>
      <c r="D21" s="599" t="s">
        <v>24</v>
      </c>
      <c r="E21" s="132" t="s">
        <v>467</v>
      </c>
      <c r="G21" s="132" t="str">
        <f>IF($I$8="Yes", "", "Shade")</f>
        <v/>
      </c>
    </row>
    <row r="23" spans="1:12" ht="13.25" customHeight="1">
      <c r="E23" s="518" t="s">
        <v>487</v>
      </c>
      <c r="F23" s="518"/>
      <c r="G23" s="518" t="s">
        <v>488</v>
      </c>
      <c r="H23" s="518" t="s">
        <v>2161</v>
      </c>
      <c r="I23" s="518" t="s">
        <v>2162</v>
      </c>
    </row>
  </sheetData>
  <sheetProtection algorithmName="SHA-512" hashValue="XPmcz2buisJ3FPNnj6yN5k6FIIvqxM6jucfwQ1l8gde7x5ScmXOoyJLHi93Q4UWRCZdkUabuLztT14k+IA3Q5g==" saltValue="3ph6o1txKRf06e+0iEropg==" spinCount="100000" sheet="1" objects="1" scenarios="1"/>
  <mergeCells count="1">
    <mergeCell ref="A8:D8"/>
  </mergeCells>
  <conditionalFormatting sqref="A1:I3 A4:A6 D4:I6 A7:I9 F10:I10 D10:D18 A10:B21 D11:I13 F14:I14 D15:I21 A22:I1048576">
    <cfRule type="expression" dxfId="1" priority="1">
      <formula>INDIRECT("F"&amp;ROW())="Shade"</formula>
    </cfRule>
    <cfRule type="beginsWith" dxfId="0" priority="2" operator="beginsWith" text="[">
      <formula>LEFT(A1,LEN("["))="["</formula>
    </cfRule>
  </conditionalFormatting>
  <pageMargins left="0.78740157480314965" right="0.78740157480314965" top="0.39370078740157483" bottom="0.78740157480314965" header="0" footer="0.39370078740157483"/>
  <pageSetup paperSize="9" orientation="portrait" r:id="rId1"/>
  <headerFooter>
    <oddFooter>&amp;C&amp;"Arial,Regular"&amp;10&amp;K00-049&amp;P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AFDB0-B61C-49A7-B183-18C236F7C0A1}">
  <dimension ref="A1:G19"/>
  <sheetViews>
    <sheetView showGridLines="0" topLeftCell="K1" zoomScaleNormal="100" workbookViewId="0">
      <selection activeCell="J1" sqref="A1:J1048576"/>
    </sheetView>
  </sheetViews>
  <sheetFormatPr defaultColWidth="9.6328125" defaultRowHeight="12.75" customHeight="1"/>
  <cols>
    <col min="1" max="1" width="12.36328125" style="609" hidden="1" customWidth="1"/>
    <col min="2" max="2" width="42.08984375" style="609" hidden="1" customWidth="1"/>
    <col min="3" max="3" width="40.08984375" style="609" hidden="1" customWidth="1"/>
    <col min="4" max="5" width="9.6328125" style="609" hidden="1" customWidth="1"/>
    <col min="6" max="6" width="9.6328125" style="612" hidden="1" customWidth="1"/>
    <col min="7" max="7" width="9.6328125" style="609" hidden="1" customWidth="1"/>
    <col min="8" max="10" width="0" style="609" hidden="1" customWidth="1"/>
    <col min="11" max="16384" width="9.6328125" style="609"/>
  </cols>
  <sheetData>
    <row r="1" spans="1:6" ht="14">
      <c r="A1" s="608" t="s">
        <v>2683</v>
      </c>
      <c r="F1" s="610" t="str">
        <f>IF(COUNTIF(E:E, "Add")&gt;0, "Incomplete", "Complete")</f>
        <v>Complete</v>
      </c>
    </row>
    <row r="2" spans="1:6" ht="14">
      <c r="A2" s="611" t="str">
        <f t="array" ref="A2">CONCATENATE(INDEX(TBL_DATA_00_Doc_Merge[Supplier_Type], MATCH(1, (REF_Doc_Lot=TBL_DATA_00_Doc_Merge[Lot])*(REF_Job_No=TBL_DATA_00_Doc_Merge[Job_No]),0)), ":")</f>
        <v>Supplier:</v>
      </c>
      <c r="B2" s="611" t="str">
        <f>Response!$A$2</f>
        <v>Purdy Contracts Ltd</v>
      </c>
    </row>
    <row r="3" spans="1:6" ht="14">
      <c r="A3" s="613"/>
      <c r="B3" s="613"/>
    </row>
    <row r="4" spans="1:6" ht="17.5">
      <c r="A4" s="614"/>
      <c r="B4" s="669" t="s">
        <v>2282</v>
      </c>
    </row>
    <row r="5" spans="1:6" s="615" customFormat="1" ht="12.75" customHeight="1">
      <c r="F5" s="616"/>
    </row>
    <row r="6" spans="1:6" ht="12.75" customHeight="1">
      <c r="B6" s="617" t="s">
        <v>2283</v>
      </c>
      <c r="C6" s="617"/>
    </row>
    <row r="7" spans="1:6" ht="12.75" customHeight="1">
      <c r="B7" s="617"/>
      <c r="C7" s="617"/>
    </row>
    <row r="8" spans="1:6" ht="15" customHeight="1">
      <c r="B8" s="618" t="s">
        <v>146</v>
      </c>
      <c r="C8" s="618" t="s">
        <v>19</v>
      </c>
    </row>
    <row r="9" spans="1:6" ht="25.5">
      <c r="B9" s="619" t="s">
        <v>2284</v>
      </c>
      <c r="C9" s="674" t="s">
        <v>2723</v>
      </c>
      <c r="E9" s="609" t="str">
        <f>IF(C9&lt;&gt;"", "Done", "Add")</f>
        <v>Done</v>
      </c>
    </row>
    <row r="10" spans="1:6" ht="25.5" customHeight="1">
      <c r="B10" s="681" t="s">
        <v>2285</v>
      </c>
      <c r="C10" s="682"/>
    </row>
    <row r="11" spans="1:6" ht="20.149999999999999" customHeight="1">
      <c r="B11" s="620" t="s">
        <v>148</v>
      </c>
      <c r="C11" s="674" t="s">
        <v>2724</v>
      </c>
      <c r="E11" s="609" t="str">
        <f t="shared" ref="E11:E19" si="0">IF(C11&lt;&gt;"", "Done", "Add")</f>
        <v>Done</v>
      </c>
    </row>
    <row r="12" spans="1:6" ht="20.149999999999999" customHeight="1">
      <c r="B12" s="620" t="s">
        <v>2286</v>
      </c>
      <c r="C12" s="674" t="s">
        <v>2725</v>
      </c>
      <c r="E12" s="609" t="str">
        <f t="shared" si="0"/>
        <v>Done</v>
      </c>
    </row>
    <row r="13" spans="1:6" ht="20.149999999999999" customHeight="1">
      <c r="B13" s="620" t="s">
        <v>2287</v>
      </c>
      <c r="C13" s="674" t="s">
        <v>2726</v>
      </c>
      <c r="E13" s="609" t="str">
        <f t="shared" si="0"/>
        <v>Done</v>
      </c>
    </row>
    <row r="14" spans="1:6" ht="20.149999999999999" customHeight="1">
      <c r="B14" s="620" t="s">
        <v>2288</v>
      </c>
      <c r="C14" s="674" t="s">
        <v>2727</v>
      </c>
      <c r="E14" s="609" t="str">
        <f t="shared" si="0"/>
        <v>Done</v>
      </c>
    </row>
    <row r="15" spans="1:6" ht="20.149999999999999" customHeight="1">
      <c r="B15" s="620" t="s">
        <v>2289</v>
      </c>
      <c r="C15" s="674" t="s">
        <v>2728</v>
      </c>
      <c r="E15" s="609" t="str">
        <f t="shared" si="0"/>
        <v>Done</v>
      </c>
    </row>
    <row r="16" spans="1:6" ht="20.149999999999999" customHeight="1">
      <c r="B16" s="620" t="s">
        <v>2290</v>
      </c>
      <c r="C16" s="674" t="s">
        <v>2729</v>
      </c>
      <c r="E16" s="609" t="str">
        <f t="shared" si="0"/>
        <v>Done</v>
      </c>
    </row>
    <row r="17" spans="2:5" ht="20.149999999999999" customHeight="1">
      <c r="B17" s="620" t="s">
        <v>2291</v>
      </c>
      <c r="C17" s="674" t="s">
        <v>2730</v>
      </c>
      <c r="E17" s="609" t="str">
        <f t="shared" si="0"/>
        <v>Done</v>
      </c>
    </row>
    <row r="18" spans="2:5" ht="20.149999999999999" customHeight="1">
      <c r="B18" s="620" t="s">
        <v>2292</v>
      </c>
      <c r="C18" s="674" t="s">
        <v>2731</v>
      </c>
      <c r="E18" s="609" t="str">
        <f t="shared" si="0"/>
        <v>Done</v>
      </c>
    </row>
    <row r="19" spans="2:5" ht="20.149999999999999" customHeight="1">
      <c r="B19" s="620" t="s">
        <v>2293</v>
      </c>
      <c r="C19" s="674" t="s">
        <v>2732</v>
      </c>
      <c r="E19" s="609" t="str">
        <f t="shared" si="0"/>
        <v>Done</v>
      </c>
    </row>
  </sheetData>
  <sheetProtection algorithmName="SHA-512" hashValue="Z5ILO3eJD/2uYgPTewzp28I9f3oBZMlzem9E6zErnqxlImGW4PmSnyIzYMVv3Fngbq6K7T2IR4ZRAYODbgYWWg==" saltValue="5YMeszaIVCJOU7el6VSv+A==" spinCount="100000" sheet="1" objects="1" scenarios="1"/>
  <protectedRanges>
    <protectedRange sqref="C9 C11:C19" name="Range1"/>
  </protectedRanges>
  <mergeCells count="1">
    <mergeCell ref="B10:C10"/>
  </mergeCells>
  <conditionalFormatting sqref="C1:C5 C20:C1048576">
    <cfRule type="expression" dxfId="163" priority="3">
      <formula>INDIRECT("G"&amp;ROW())="Shade"</formula>
    </cfRule>
    <cfRule type="expression" dxfId="162" priority="4">
      <formula>INDIRECT("G"&amp;ROW())="Add"</formula>
    </cfRule>
  </conditionalFormatting>
  <conditionalFormatting sqref="C9 C11:C19">
    <cfRule type="expression" dxfId="161" priority="1">
      <formula>INDIRECT("E"&amp;ROW())="Done"</formula>
    </cfRule>
    <cfRule type="expression" dxfId="160" priority="2">
      <formula>INDIRECT("E"&amp;ROW())="Add"</formula>
    </cfRule>
  </conditionalFormatting>
  <pageMargins left="0.70866141732283472" right="0.70866141732283472" top="0.35433070866141736" bottom="0.74803149606299213" header="0.11811023622047245" footer="0.31496062992125984"/>
  <pageSetup paperSize="9" orientation="portrait" r:id="rId1"/>
  <headerFooter>
    <oddHeader>&amp;L&amp;"Arial,Regular"&amp;8&amp;K00-049Faithorn Farrell Timms LLP&amp;R&amp;"Arial,Regular"&amp;8&amp;K00-049Document 3 - Tender Submission</oddHeader>
    <oddFooter>&amp;L&amp;"Arial,Regular"&amp;8&amp;K00-049Part 5&amp;R&amp;"Arial,Regular"&amp;8&amp;K00-049Page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1152F-139C-42F8-A475-A8D2FDAEE1E7}">
  <sheetPr codeName="Sheet86">
    <tabColor rgb="FFFFFF00"/>
  </sheetPr>
  <dimension ref="A1:AY19"/>
  <sheetViews>
    <sheetView topLeftCell="A20" workbookViewId="0">
      <selection activeCell="A19" sqref="A1:XFD19"/>
    </sheetView>
  </sheetViews>
  <sheetFormatPr defaultColWidth="9.08984375" defaultRowHeight="14"/>
  <cols>
    <col min="1" max="55" width="21.54296875" style="1" customWidth="1"/>
    <col min="56" max="56" width="14.90625" style="1" bestFit="1" customWidth="1"/>
    <col min="57" max="57" width="13.6328125" style="1" customWidth="1"/>
    <col min="58" max="16384" width="9.08984375" style="1"/>
  </cols>
  <sheetData>
    <row r="1" spans="1:51" hidden="1">
      <c r="A1" s="139" t="s">
        <v>217</v>
      </c>
      <c r="B1" s="6" t="s">
        <v>214</v>
      </c>
      <c r="C1" s="7" t="s">
        <v>238</v>
      </c>
      <c r="D1" s="5" t="s">
        <v>239</v>
      </c>
      <c r="E1" s="5" t="s">
        <v>240</v>
      </c>
      <c r="F1" s="5" t="s">
        <v>241</v>
      </c>
      <c r="G1" s="5" t="s">
        <v>242</v>
      </c>
      <c r="H1" s="7" t="s">
        <v>215</v>
      </c>
      <c r="I1" s="7" t="s">
        <v>216</v>
      </c>
    </row>
    <row r="2" spans="1:51" s="9" customFormat="1" ht="25" hidden="1">
      <c r="A2" s="621" t="str">
        <f>'Contact Details'!C9</f>
        <v>Purdy Contracts Ltd</v>
      </c>
      <c r="B2" s="621" t="str">
        <f>'Contact Details'!C11</f>
        <v>John Lord</v>
      </c>
      <c r="C2" s="621" t="str">
        <f>'Contact Details'!C12</f>
        <v>Brooklyn Lodge</v>
      </c>
      <c r="D2" s="621" t="str">
        <f>'Contact Details'!C13</f>
        <v>Mott Street</v>
      </c>
      <c r="E2" s="621" t="str">
        <f>'Contact Details'!C14</f>
        <v>London</v>
      </c>
      <c r="F2" s="621" t="str">
        <f>'Contact Details'!C15</f>
        <v>E4 7RW</v>
      </c>
      <c r="G2" s="621"/>
      <c r="H2" s="621" t="str">
        <f>'Contact Details'!C17</f>
        <v>0204 548 4547</v>
      </c>
      <c r="I2" s="621" t="str">
        <f>'Contact Details'!C19</f>
        <v>john.lord@purdycontracts.co.uk</v>
      </c>
    </row>
    <row r="3" spans="1:51" hidden="1"/>
    <row r="4" spans="1:51" hidden="1">
      <c r="A4" s="307" t="s">
        <v>2048</v>
      </c>
      <c r="B4" s="5" t="s">
        <v>346</v>
      </c>
      <c r="C4" s="6" t="s">
        <v>349</v>
      </c>
      <c r="D4" s="6" t="s">
        <v>352</v>
      </c>
      <c r="E4" s="5" t="s">
        <v>351</v>
      </c>
      <c r="F4" s="6" t="s">
        <v>350</v>
      </c>
    </row>
    <row r="5" spans="1:51" hidden="1">
      <c r="A5" s="311" t="s">
        <v>2047</v>
      </c>
      <c r="B5" s="9" t="str">
        <f>IF(REF_Lotted="Yes", REF_Lot_1, "Yes")</f>
        <v>Yes</v>
      </c>
      <c r="C5" s="9" t="str">
        <f>IF(AND(REF_Lotted="Yes", REF_No_Lots&gt;=2), REF_Lot_2, "N/A")</f>
        <v>N/A</v>
      </c>
      <c r="D5" s="9" t="str">
        <f>IF(AND(REF_Lotted="Yes", REF_No_Lots&gt;=3), REF_Lot_3, "N/A")</f>
        <v>N/A</v>
      </c>
      <c r="E5" s="9" t="str">
        <f>IF(AND(REF_Lotted="Yes", REF_No_Lots&gt;=4), REF_Lot_4, "N/A")</f>
        <v>N/A</v>
      </c>
      <c r="F5" s="9" t="str">
        <f>IF(AND(REF_Lotted="Yes", REF_No_Lots&gt;=5), REF_Lot_5, "N/A")</f>
        <v>N/A</v>
      </c>
    </row>
    <row r="6" spans="1:51" hidden="1">
      <c r="A6" s="311" t="s">
        <v>2049</v>
      </c>
      <c r="B6" s="311" t="str">
        <f>IFERROR(IF(#REF!&lt;&gt;"",#REF!, "N/A"), "N/A")</f>
        <v>N/A</v>
      </c>
      <c r="C6" s="311" t="str">
        <f>IFERROR(IF(#REF!&lt;&gt;"",#REF!, "N/A"), "N/A")</f>
        <v>N/A</v>
      </c>
      <c r="D6" s="311" t="str">
        <f>IFERROR(IF(#REF!&lt;&gt;"",#REF!, "N/A"), "N/A")</f>
        <v>N/A</v>
      </c>
      <c r="E6" s="311" t="str">
        <f>IFERROR(IF(#REF!&lt;&gt;"",#REF!, "N/A"), "N/A")</f>
        <v>N/A</v>
      </c>
      <c r="F6" s="311" t="str">
        <f>IFERROR(IF(#REF!&lt;&gt;"",#REF!, "N/A"), "N/A")</f>
        <v>N/A</v>
      </c>
    </row>
    <row r="7" spans="1:51" hidden="1"/>
    <row r="8" spans="1:51" hidden="1">
      <c r="A8" t="s">
        <v>2086</v>
      </c>
      <c r="B8" t="s">
        <v>2087</v>
      </c>
      <c r="C8" t="s">
        <v>2088</v>
      </c>
      <c r="D8" t="s">
        <v>2089</v>
      </c>
      <c r="E8" t="s">
        <v>2090</v>
      </c>
      <c r="F8" t="s">
        <v>2091</v>
      </c>
    </row>
    <row r="9" spans="1:51" hidden="1">
      <c r="A9" s="326" t="str">
        <f>IF(REF_CCS_Q="No", "Both", IFERROR(IF('Part 3_Q6 (Experience Qs)'!$C$21&lt;&gt;"", 'Part 3_Q6 (Experience Qs)'!$C$21, "Both"), "Both"))</f>
        <v>Both</v>
      </c>
      <c r="B9" s="326" t="str">
        <f>IF(REF_CCS_Q="No", "Both", IFERROR(IF(#REF!&lt;&gt;"",#REF!, "Both"), "Both"))</f>
        <v>Both</v>
      </c>
      <c r="C9" s="326" t="str">
        <f>IF(REF_CCS_Q="No", "Both", IFERROR(IF(#REF!&lt;&gt;"",#REF!, "Both"), "Both"))</f>
        <v>Both</v>
      </c>
      <c r="D9" s="326" t="str">
        <f>IF(REF_CCS_Q="No", "Both", IFERROR(IF(#REF!&lt;&gt;"",#REF!, "Both"), "Both"))</f>
        <v>Both</v>
      </c>
      <c r="E9" s="326" t="str">
        <f>IF(REF_CCS_Q="No", "Both", IFERROR(IF(#REF!&lt;&gt;"",#REF!, "Both"), "Both"))</f>
        <v>Both</v>
      </c>
      <c r="F9" s="326" t="str">
        <f>IF(REF_CCS_Q="No", "Both", IFERROR(IF(#REF!&lt;&gt;"",#REF!, "Both"), "Both"))</f>
        <v>Both</v>
      </c>
    </row>
    <row r="10" spans="1:51" hidden="1"/>
    <row r="11" spans="1:51" hidden="1">
      <c r="A11" s="119" t="s">
        <v>502</v>
      </c>
      <c r="B11" s="119" t="s">
        <v>1476</v>
      </c>
      <c r="C11" s="119" t="s">
        <v>1477</v>
      </c>
      <c r="D11" s="119" t="s">
        <v>1478</v>
      </c>
      <c r="E11" s="119" t="s">
        <v>1479</v>
      </c>
      <c r="F11" s="119" t="s">
        <v>1480</v>
      </c>
      <c r="G11" s="119" t="s">
        <v>1481</v>
      </c>
      <c r="H11" s="119" t="s">
        <v>1482</v>
      </c>
      <c r="I11" s="119" t="s">
        <v>1483</v>
      </c>
      <c r="J11" s="119" t="s">
        <v>1484</v>
      </c>
      <c r="K11" s="119" t="s">
        <v>1485</v>
      </c>
      <c r="L11" s="119" t="s">
        <v>1486</v>
      </c>
      <c r="M11" s="119" t="s">
        <v>1487</v>
      </c>
      <c r="N11" s="119" t="s">
        <v>1488</v>
      </c>
      <c r="O11" s="119" t="s">
        <v>1489</v>
      </c>
      <c r="P11" s="119" t="s">
        <v>1490</v>
      </c>
      <c r="Q11" s="119" t="s">
        <v>1491</v>
      </c>
      <c r="R11" s="119" t="s">
        <v>1492</v>
      </c>
      <c r="S11" s="119" t="s">
        <v>1493</v>
      </c>
      <c r="T11" s="119" t="s">
        <v>1494</v>
      </c>
      <c r="U11" s="119" t="s">
        <v>1495</v>
      </c>
      <c r="V11" s="119" t="s">
        <v>1496</v>
      </c>
      <c r="W11" s="119" t="s">
        <v>1497</v>
      </c>
      <c r="X11" s="119" t="s">
        <v>1498</v>
      </c>
      <c r="Y11" s="119" t="s">
        <v>1499</v>
      </c>
      <c r="Z11" s="119" t="s">
        <v>1500</v>
      </c>
      <c r="AA11" s="119" t="s">
        <v>1501</v>
      </c>
      <c r="AB11" s="119" t="s">
        <v>1502</v>
      </c>
      <c r="AC11" s="119" t="s">
        <v>1503</v>
      </c>
      <c r="AD11" s="119" t="s">
        <v>1504</v>
      </c>
      <c r="AE11" s="119" t="s">
        <v>1505</v>
      </c>
      <c r="AF11" s="119" t="s">
        <v>1506</v>
      </c>
      <c r="AG11" s="119" t="s">
        <v>1507</v>
      </c>
      <c r="AH11" s="119" t="s">
        <v>1508</v>
      </c>
      <c r="AI11" s="119" t="s">
        <v>1509</v>
      </c>
      <c r="AJ11" s="119" t="s">
        <v>1510</v>
      </c>
      <c r="AK11" s="119" t="s">
        <v>1511</v>
      </c>
      <c r="AL11" s="119" t="s">
        <v>1512</v>
      </c>
      <c r="AM11" s="119" t="s">
        <v>1513</v>
      </c>
      <c r="AN11" s="119" t="s">
        <v>1514</v>
      </c>
      <c r="AO11" s="119" t="s">
        <v>1515</v>
      </c>
      <c r="AP11" s="119" t="s">
        <v>1516</v>
      </c>
      <c r="AQ11" s="119" t="s">
        <v>1517</v>
      </c>
      <c r="AR11" s="119" t="s">
        <v>1518</v>
      </c>
      <c r="AS11" s="119" t="s">
        <v>1519</v>
      </c>
      <c r="AT11" s="119" t="s">
        <v>1520</v>
      </c>
      <c r="AU11" s="119" t="s">
        <v>1521</v>
      </c>
      <c r="AV11" s="119" t="s">
        <v>1522</v>
      </c>
      <c r="AW11" s="119" t="s">
        <v>1523</v>
      </c>
      <c r="AX11" s="119" t="s">
        <v>1524</v>
      </c>
      <c r="AY11" s="119" t="s">
        <v>1525</v>
      </c>
    </row>
    <row r="12" spans="1:51" hidden="1">
      <c r="A12" s="314" t="str">
        <f>IF(COUNTIF(TBL_DATA_04_Response[[#This Row],[Lot_1_Price_1]:[Lot_5_Price_10]], "Missing info")&gt;0, "Incomplete", "Complete")</f>
        <v>Complete</v>
      </c>
      <c r="B12" s="662">
        <f>Summary!D10</f>
        <v>451250</v>
      </c>
      <c r="C12" s="662">
        <f>Summary!D11</f>
        <v>69017.5</v>
      </c>
      <c r="D12" s="662">
        <f>TBL_PF_02_Summary_All[[#This Row],[Total
(for evaluation)]]</f>
        <v>44650</v>
      </c>
      <c r="E12" s="663">
        <f>Summary!D14</f>
        <v>617500</v>
      </c>
      <c r="F12" s="662">
        <f>Summary!D15</f>
        <v>462293.75</v>
      </c>
      <c r="G12" s="662">
        <f>Summary!D16</f>
        <v>69017.5</v>
      </c>
      <c r="H12" s="662">
        <f>Summary!D17</f>
        <v>44650</v>
      </c>
      <c r="I12" s="662">
        <f>Summary!D19</f>
        <v>49348</v>
      </c>
      <c r="J12" s="662" t="s">
        <v>24</v>
      </c>
      <c r="K12" s="662" t="s">
        <v>24</v>
      </c>
      <c r="L12" s="662" t="s">
        <v>24</v>
      </c>
      <c r="M12" s="662" t="s">
        <v>24</v>
      </c>
      <c r="N12" s="662" t="s">
        <v>24</v>
      </c>
      <c r="O12" s="662" t="s">
        <v>24</v>
      </c>
      <c r="P12" s="662" t="s">
        <v>24</v>
      </c>
      <c r="Q12" s="662" t="s">
        <v>24</v>
      </c>
      <c r="R12" s="662" t="s">
        <v>24</v>
      </c>
      <c r="S12" s="662" t="s">
        <v>24</v>
      </c>
      <c r="T12" s="662" t="s">
        <v>24</v>
      </c>
      <c r="U12" s="662" t="s">
        <v>24</v>
      </c>
      <c r="V12" s="662" t="s">
        <v>24</v>
      </c>
      <c r="W12" s="662" t="s">
        <v>24</v>
      </c>
      <c r="X12" s="662" t="s">
        <v>24</v>
      </c>
      <c r="Y12" s="662" t="s">
        <v>24</v>
      </c>
      <c r="Z12" s="662" t="s">
        <v>24</v>
      </c>
      <c r="AA12" s="662" t="s">
        <v>24</v>
      </c>
      <c r="AB12" s="662" t="s">
        <v>24</v>
      </c>
      <c r="AC12" s="662" t="s">
        <v>24</v>
      </c>
      <c r="AD12" s="662" t="s">
        <v>24</v>
      </c>
      <c r="AE12" s="662" t="s">
        <v>24</v>
      </c>
      <c r="AF12" s="662" t="s">
        <v>24</v>
      </c>
      <c r="AG12" s="662" t="s">
        <v>24</v>
      </c>
      <c r="AH12" s="662" t="s">
        <v>24</v>
      </c>
      <c r="AI12" s="662" t="s">
        <v>24</v>
      </c>
      <c r="AJ12" s="662" t="s">
        <v>24</v>
      </c>
      <c r="AK12" s="662" t="s">
        <v>24</v>
      </c>
      <c r="AL12" s="662" t="s">
        <v>24</v>
      </c>
      <c r="AM12" s="662" t="s">
        <v>24</v>
      </c>
      <c r="AN12" s="662" t="s">
        <v>24</v>
      </c>
      <c r="AO12" s="662" t="s">
        <v>24</v>
      </c>
      <c r="AP12" s="662" t="s">
        <v>24</v>
      </c>
      <c r="AQ12" s="662" t="s">
        <v>24</v>
      </c>
      <c r="AR12" s="662" t="s">
        <v>24</v>
      </c>
      <c r="AS12" s="662" t="s">
        <v>24</v>
      </c>
      <c r="AT12" s="662" t="s">
        <v>24</v>
      </c>
      <c r="AU12" s="662" t="s">
        <v>24</v>
      </c>
      <c r="AV12" s="662" t="s">
        <v>24</v>
      </c>
      <c r="AW12" s="662" t="s">
        <v>24</v>
      </c>
      <c r="AX12" s="662" t="s">
        <v>24</v>
      </c>
      <c r="AY12" s="662" t="s">
        <v>24</v>
      </c>
    </row>
    <row r="13" spans="1:51" hidden="1">
      <c r="A13" s="315" t="s">
        <v>345</v>
      </c>
      <c r="B13" s="312">
        <v>1</v>
      </c>
      <c r="C13" s="312">
        <v>1</v>
      </c>
      <c r="D13" s="312">
        <v>1</v>
      </c>
      <c r="E13" s="312">
        <v>1</v>
      </c>
      <c r="F13" s="312">
        <v>1</v>
      </c>
      <c r="G13" s="312">
        <v>1</v>
      </c>
      <c r="H13" s="312">
        <v>1</v>
      </c>
      <c r="I13" s="312">
        <v>1</v>
      </c>
      <c r="J13" s="312">
        <v>1</v>
      </c>
      <c r="K13" s="312">
        <v>1</v>
      </c>
      <c r="L13" s="312">
        <v>2</v>
      </c>
      <c r="M13" s="312">
        <v>2</v>
      </c>
      <c r="N13" s="312">
        <v>2</v>
      </c>
      <c r="O13" s="312">
        <v>2</v>
      </c>
      <c r="P13" s="312">
        <v>2</v>
      </c>
      <c r="Q13" s="312">
        <v>2</v>
      </c>
      <c r="R13" s="312">
        <v>2</v>
      </c>
      <c r="S13" s="312">
        <v>2</v>
      </c>
      <c r="T13" s="312">
        <v>2</v>
      </c>
      <c r="U13" s="312">
        <v>2</v>
      </c>
      <c r="V13" s="312">
        <v>3</v>
      </c>
      <c r="W13" s="312">
        <v>3</v>
      </c>
      <c r="X13" s="312">
        <v>3</v>
      </c>
      <c r="Y13" s="312">
        <v>3</v>
      </c>
      <c r="Z13" s="312">
        <v>3</v>
      </c>
      <c r="AA13" s="312">
        <v>3</v>
      </c>
      <c r="AB13" s="312">
        <v>3</v>
      </c>
      <c r="AC13" s="312">
        <v>3</v>
      </c>
      <c r="AD13" s="312">
        <v>3</v>
      </c>
      <c r="AE13" s="312">
        <v>3</v>
      </c>
      <c r="AF13" s="312">
        <v>4</v>
      </c>
      <c r="AG13" s="312">
        <v>4</v>
      </c>
      <c r="AH13" s="312">
        <v>4</v>
      </c>
      <c r="AI13" s="312">
        <v>4</v>
      </c>
      <c r="AJ13" s="312">
        <v>4</v>
      </c>
      <c r="AK13" s="312">
        <v>4</v>
      </c>
      <c r="AL13" s="312">
        <v>4</v>
      </c>
      <c r="AM13" s="312">
        <v>4</v>
      </c>
      <c r="AN13" s="312">
        <v>4</v>
      </c>
      <c r="AO13" s="312">
        <v>4</v>
      </c>
      <c r="AP13" s="312">
        <v>5</v>
      </c>
      <c r="AQ13" s="312">
        <v>5</v>
      </c>
      <c r="AR13" s="312">
        <v>5</v>
      </c>
      <c r="AS13" s="312">
        <v>5</v>
      </c>
      <c r="AT13" s="312">
        <v>5</v>
      </c>
      <c r="AU13" s="312">
        <v>5</v>
      </c>
      <c r="AV13" s="312">
        <v>5</v>
      </c>
      <c r="AW13" s="312">
        <v>5</v>
      </c>
      <c r="AX13" s="312">
        <v>5</v>
      </c>
      <c r="AY13" s="312">
        <v>5</v>
      </c>
    </row>
    <row r="14" spans="1:51" hidden="1">
      <c r="A14" s="315" t="s">
        <v>1526</v>
      </c>
      <c r="B14" s="312" t="str">
        <f t="shared" ref="B14:K14" si="0">IF(REF_Lotted="Yes", IF(REF_Lot_1="No", "No", "Yes"), "Yes")</f>
        <v>Yes</v>
      </c>
      <c r="C14" s="312" t="str">
        <f t="shared" si="0"/>
        <v>Yes</v>
      </c>
      <c r="D14" s="312" t="str">
        <f t="shared" si="0"/>
        <v>Yes</v>
      </c>
      <c r="E14" s="312" t="str">
        <f t="shared" si="0"/>
        <v>Yes</v>
      </c>
      <c r="F14" s="312" t="str">
        <f t="shared" si="0"/>
        <v>Yes</v>
      </c>
      <c r="G14" s="312" t="str">
        <f t="shared" si="0"/>
        <v>Yes</v>
      </c>
      <c r="H14" s="312" t="str">
        <f t="shared" si="0"/>
        <v>Yes</v>
      </c>
      <c r="I14" s="312" t="str">
        <f t="shared" si="0"/>
        <v>Yes</v>
      </c>
      <c r="J14" s="312" t="str">
        <f t="shared" si="0"/>
        <v>Yes</v>
      </c>
      <c r="K14" s="312" t="str">
        <f t="shared" si="0"/>
        <v>Yes</v>
      </c>
      <c r="L14" s="312" t="str">
        <f t="shared" ref="L14:U14" si="1">IF(AND(REF_Lotted="Yes", REF_No_Lots&gt;=L13), IF(REF_Lot_2="No", "No", "Yes"), "N/A")</f>
        <v>N/A</v>
      </c>
      <c r="M14" s="312" t="str">
        <f t="shared" si="1"/>
        <v>N/A</v>
      </c>
      <c r="N14" s="312" t="str">
        <f t="shared" si="1"/>
        <v>N/A</v>
      </c>
      <c r="O14" s="312" t="str">
        <f t="shared" si="1"/>
        <v>N/A</v>
      </c>
      <c r="P14" s="312" t="str">
        <f t="shared" si="1"/>
        <v>N/A</v>
      </c>
      <c r="Q14" s="312" t="str">
        <f t="shared" si="1"/>
        <v>N/A</v>
      </c>
      <c r="R14" s="312" t="str">
        <f t="shared" si="1"/>
        <v>N/A</v>
      </c>
      <c r="S14" s="312" t="str">
        <f t="shared" si="1"/>
        <v>N/A</v>
      </c>
      <c r="T14" s="312" t="str">
        <f t="shared" si="1"/>
        <v>N/A</v>
      </c>
      <c r="U14" s="312" t="str">
        <f t="shared" si="1"/>
        <v>N/A</v>
      </c>
      <c r="V14" s="312" t="str">
        <f t="shared" ref="V14:AE14" si="2">IF(AND(REF_Lotted="Yes", REF_No_Lots&gt;=V13), IF(REF_Lot_3="No", "No", "Yes"), "N/A")</f>
        <v>N/A</v>
      </c>
      <c r="W14" s="312" t="str">
        <f t="shared" si="2"/>
        <v>N/A</v>
      </c>
      <c r="X14" s="312" t="str">
        <f t="shared" si="2"/>
        <v>N/A</v>
      </c>
      <c r="Y14" s="312" t="str">
        <f t="shared" si="2"/>
        <v>N/A</v>
      </c>
      <c r="Z14" s="312" t="str">
        <f t="shared" si="2"/>
        <v>N/A</v>
      </c>
      <c r="AA14" s="312" t="str">
        <f t="shared" si="2"/>
        <v>N/A</v>
      </c>
      <c r="AB14" s="312" t="str">
        <f t="shared" si="2"/>
        <v>N/A</v>
      </c>
      <c r="AC14" s="312" t="str">
        <f t="shared" si="2"/>
        <v>N/A</v>
      </c>
      <c r="AD14" s="312" t="str">
        <f t="shared" si="2"/>
        <v>N/A</v>
      </c>
      <c r="AE14" s="312" t="str">
        <f t="shared" si="2"/>
        <v>N/A</v>
      </c>
      <c r="AF14" s="312" t="str">
        <f t="shared" ref="AF14:AO14" si="3">IF(AND(REF_Lotted="Yes", REF_No_Lots&gt;=AF13), IF(REF_Lot_4="No", "No", "Yes"), "N/A")</f>
        <v>N/A</v>
      </c>
      <c r="AG14" s="312" t="str">
        <f t="shared" si="3"/>
        <v>N/A</v>
      </c>
      <c r="AH14" s="312" t="str">
        <f t="shared" si="3"/>
        <v>N/A</v>
      </c>
      <c r="AI14" s="312" t="str">
        <f t="shared" si="3"/>
        <v>N/A</v>
      </c>
      <c r="AJ14" s="312" t="str">
        <f t="shared" si="3"/>
        <v>N/A</v>
      </c>
      <c r="AK14" s="312" t="str">
        <f t="shared" si="3"/>
        <v>N/A</v>
      </c>
      <c r="AL14" s="312" t="str">
        <f t="shared" si="3"/>
        <v>N/A</v>
      </c>
      <c r="AM14" s="312" t="str">
        <f t="shared" si="3"/>
        <v>N/A</v>
      </c>
      <c r="AN14" s="312" t="str">
        <f t="shared" si="3"/>
        <v>N/A</v>
      </c>
      <c r="AO14" s="312" t="str">
        <f t="shared" si="3"/>
        <v>N/A</v>
      </c>
      <c r="AP14" s="312" t="str">
        <f t="shared" ref="AP14:AY14" si="4">IF(AND(REF_Lotted="Yes", REF_No_Lots&gt;=AP13), IF(REF_Lot_5="No", "No", "Yes"), "N/A")</f>
        <v>N/A</v>
      </c>
      <c r="AQ14" s="312" t="str">
        <f t="shared" si="4"/>
        <v>N/A</v>
      </c>
      <c r="AR14" s="312" t="str">
        <f t="shared" si="4"/>
        <v>N/A</v>
      </c>
      <c r="AS14" s="312" t="str">
        <f t="shared" si="4"/>
        <v>N/A</v>
      </c>
      <c r="AT14" s="312" t="str">
        <f t="shared" si="4"/>
        <v>N/A</v>
      </c>
      <c r="AU14" s="312" t="str">
        <f t="shared" si="4"/>
        <v>N/A</v>
      </c>
      <c r="AV14" s="312" t="str">
        <f t="shared" si="4"/>
        <v>N/A</v>
      </c>
      <c r="AW14" s="312" t="str">
        <f t="shared" si="4"/>
        <v>N/A</v>
      </c>
      <c r="AX14" s="312" t="str">
        <f t="shared" si="4"/>
        <v>N/A</v>
      </c>
      <c r="AY14" s="312" t="str">
        <f t="shared" si="4"/>
        <v>N/A</v>
      </c>
    </row>
    <row r="15" spans="1:51" hidden="1">
      <c r="A15" s="311" t="s">
        <v>714</v>
      </c>
      <c r="B15" s="312">
        <v>1</v>
      </c>
      <c r="C15" s="312">
        <v>2</v>
      </c>
      <c r="D15" s="312">
        <v>3</v>
      </c>
      <c r="E15" s="312">
        <v>4</v>
      </c>
      <c r="F15" s="312">
        <v>5</v>
      </c>
      <c r="G15" s="312">
        <v>6</v>
      </c>
      <c r="H15" s="312">
        <v>7</v>
      </c>
      <c r="I15" s="312">
        <v>8</v>
      </c>
      <c r="J15" s="312">
        <v>9</v>
      </c>
      <c r="K15" s="312">
        <v>10</v>
      </c>
      <c r="L15" s="312">
        <v>1</v>
      </c>
      <c r="M15" s="312">
        <v>2</v>
      </c>
      <c r="N15" s="312">
        <v>3</v>
      </c>
      <c r="O15" s="312">
        <v>4</v>
      </c>
      <c r="P15" s="312">
        <v>5</v>
      </c>
      <c r="Q15" s="312">
        <v>6</v>
      </c>
      <c r="R15" s="312">
        <v>7</v>
      </c>
      <c r="S15" s="312">
        <v>8</v>
      </c>
      <c r="T15" s="312">
        <v>9</v>
      </c>
      <c r="U15" s="312">
        <v>10</v>
      </c>
      <c r="V15" s="312">
        <v>1</v>
      </c>
      <c r="W15" s="312">
        <v>2</v>
      </c>
      <c r="X15" s="312">
        <v>3</v>
      </c>
      <c r="Y15" s="312">
        <v>4</v>
      </c>
      <c r="Z15" s="312">
        <v>5</v>
      </c>
      <c r="AA15" s="312">
        <v>6</v>
      </c>
      <c r="AB15" s="312">
        <v>7</v>
      </c>
      <c r="AC15" s="312">
        <v>8</v>
      </c>
      <c r="AD15" s="312">
        <v>9</v>
      </c>
      <c r="AE15" s="312">
        <v>10</v>
      </c>
      <c r="AF15" s="312">
        <v>1</v>
      </c>
      <c r="AG15" s="312">
        <v>2</v>
      </c>
      <c r="AH15" s="312">
        <v>3</v>
      </c>
      <c r="AI15" s="312">
        <v>4</v>
      </c>
      <c r="AJ15" s="312">
        <v>5</v>
      </c>
      <c r="AK15" s="312">
        <v>6</v>
      </c>
      <c r="AL15" s="312">
        <v>7</v>
      </c>
      <c r="AM15" s="312">
        <v>8</v>
      </c>
      <c r="AN15" s="312">
        <v>9</v>
      </c>
      <c r="AO15" s="312">
        <v>10</v>
      </c>
      <c r="AP15" s="312">
        <v>1</v>
      </c>
      <c r="AQ15" s="312">
        <v>2</v>
      </c>
      <c r="AR15" s="312">
        <v>3</v>
      </c>
      <c r="AS15" s="312">
        <v>4</v>
      </c>
      <c r="AT15" s="312">
        <v>5</v>
      </c>
      <c r="AU15" s="312">
        <v>6</v>
      </c>
      <c r="AV15" s="312">
        <v>7</v>
      </c>
      <c r="AW15" s="312">
        <v>8</v>
      </c>
      <c r="AX15" s="312">
        <v>9</v>
      </c>
      <c r="AY15" s="312">
        <v>10</v>
      </c>
    </row>
    <row r="16" spans="1:51" hidden="1">
      <c r="A16" s="311" t="s">
        <v>90</v>
      </c>
      <c r="B16" s="312" t="s">
        <v>467</v>
      </c>
      <c r="C16" s="312" t="s">
        <v>467</v>
      </c>
      <c r="D16" s="312" t="s">
        <v>467</v>
      </c>
      <c r="E16" s="312" t="s">
        <v>467</v>
      </c>
      <c r="F16" s="312" t="s">
        <v>467</v>
      </c>
      <c r="G16" s="312" t="s">
        <v>467</v>
      </c>
      <c r="H16" s="312" t="s">
        <v>467</v>
      </c>
      <c r="I16" s="312" t="s">
        <v>467</v>
      </c>
      <c r="J16" s="312" t="s">
        <v>467</v>
      </c>
      <c r="K16" s="312" t="s">
        <v>467</v>
      </c>
      <c r="L16" s="312" t="s">
        <v>467</v>
      </c>
      <c r="M16" s="312" t="s">
        <v>467</v>
      </c>
      <c r="N16" s="312" t="s">
        <v>467</v>
      </c>
      <c r="O16" s="312" t="s">
        <v>467</v>
      </c>
      <c r="P16" s="312" t="s">
        <v>467</v>
      </c>
      <c r="Q16" s="312" t="s">
        <v>467</v>
      </c>
      <c r="R16" s="312" t="s">
        <v>467</v>
      </c>
      <c r="S16" s="312" t="s">
        <v>467</v>
      </c>
      <c r="T16" s="312" t="s">
        <v>467</v>
      </c>
      <c r="U16" s="312" t="s">
        <v>467</v>
      </c>
      <c r="V16" s="312" t="s">
        <v>467</v>
      </c>
      <c r="W16" s="312" t="s">
        <v>467</v>
      </c>
      <c r="X16" s="312" t="s">
        <v>467</v>
      </c>
      <c r="Y16" s="312" t="s">
        <v>467</v>
      </c>
      <c r="Z16" s="312" t="s">
        <v>467</v>
      </c>
      <c r="AA16" s="312" t="s">
        <v>467</v>
      </c>
      <c r="AB16" s="312" t="s">
        <v>467</v>
      </c>
      <c r="AC16" s="312" t="s">
        <v>467</v>
      </c>
      <c r="AD16" s="312" t="s">
        <v>467</v>
      </c>
      <c r="AE16" s="312" t="s">
        <v>467</v>
      </c>
      <c r="AF16" s="312" t="s">
        <v>467</v>
      </c>
      <c r="AG16" s="312" t="s">
        <v>467</v>
      </c>
      <c r="AH16" s="312" t="s">
        <v>467</v>
      </c>
      <c r="AI16" s="312" t="s">
        <v>467</v>
      </c>
      <c r="AJ16" s="312" t="s">
        <v>467</v>
      </c>
      <c r="AK16" s="312" t="s">
        <v>467</v>
      </c>
      <c r="AL16" s="312" t="s">
        <v>467</v>
      </c>
      <c r="AM16" s="312" t="s">
        <v>467</v>
      </c>
      <c r="AN16" s="312" t="s">
        <v>467</v>
      </c>
      <c r="AO16" s="312" t="s">
        <v>467</v>
      </c>
      <c r="AP16" s="312" t="s">
        <v>467</v>
      </c>
      <c r="AQ16" s="312" t="s">
        <v>467</v>
      </c>
      <c r="AR16" s="312" t="s">
        <v>467</v>
      </c>
      <c r="AS16" s="312" t="s">
        <v>467</v>
      </c>
      <c r="AT16" s="312" t="s">
        <v>467</v>
      </c>
      <c r="AU16" s="312" t="s">
        <v>467</v>
      </c>
      <c r="AV16" s="312" t="s">
        <v>467</v>
      </c>
      <c r="AW16" s="312" t="s">
        <v>467</v>
      </c>
      <c r="AX16" s="312" t="s">
        <v>467</v>
      </c>
      <c r="AY16" s="312" t="s">
        <v>467</v>
      </c>
    </row>
    <row r="17" hidden="1"/>
    <row r="18" hidden="1"/>
    <row r="19" hidden="1"/>
  </sheetData>
  <sheetProtection algorithmName="SHA-512" hashValue="Uc99aOsO7MKpvO0vUqhKE86X62baWKV+5ijpS1wXRUIAgr/LVPCtpj9BFmhmlSNIlER5VcffEj+r7TkShIM3ew==" saltValue="jqpRSDMIEHsj49U9jxMNhw==" spinCount="100000" sheet="1" objects="1" scenarios="1"/>
  <phoneticPr fontId="106" type="noConversion"/>
  <pageMargins left="0.7" right="0.7" top="0.75" bottom="0.75" header="0.3" footer="0.3"/>
  <tableParts count="4">
    <tablePart r:id="rId1"/>
    <tablePart r:id="rId2"/>
    <tablePart r:id="rId3"/>
    <tablePart r:id="rId4"/>
  </tablePart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9998A-3D61-4B68-89C9-14BA1B38B60D}">
  <sheetPr codeName="Sheet95"/>
  <dimension ref="A1:AR49"/>
  <sheetViews>
    <sheetView topLeftCell="A50" workbookViewId="0">
      <selection activeCell="A50" sqref="A50"/>
    </sheetView>
  </sheetViews>
  <sheetFormatPr defaultColWidth="24.6328125" defaultRowHeight="14"/>
  <cols>
    <col min="1" max="55" width="25.36328125" style="1" customWidth="1"/>
    <col min="56" max="16384" width="24.6328125" style="1"/>
  </cols>
  <sheetData>
    <row r="1" spans="1:44" hidden="1">
      <c r="A1" s="307" t="s">
        <v>1548</v>
      </c>
      <c r="B1" s="308" t="s">
        <v>1558</v>
      </c>
      <c r="C1" s="307" t="s">
        <v>1559</v>
      </c>
      <c r="D1" s="307" t="s">
        <v>1560</v>
      </c>
      <c r="E1" s="307" t="s">
        <v>1561</v>
      </c>
      <c r="F1" s="307" t="s">
        <v>1562</v>
      </c>
      <c r="G1" s="307" t="s">
        <v>1563</v>
      </c>
      <c r="H1" s="307" t="s">
        <v>1564</v>
      </c>
      <c r="I1" s="308" t="s">
        <v>1565</v>
      </c>
      <c r="J1" s="308" t="s">
        <v>1566</v>
      </c>
      <c r="K1" s="308" t="s">
        <v>1567</v>
      </c>
      <c r="L1" s="308" t="s">
        <v>1568</v>
      </c>
      <c r="M1" s="308" t="s">
        <v>1569</v>
      </c>
      <c r="N1" s="308" t="s">
        <v>1570</v>
      </c>
      <c r="O1" s="308" t="s">
        <v>1571</v>
      </c>
      <c r="P1" s="308" t="s">
        <v>1572</v>
      </c>
      <c r="Q1" s="308" t="s">
        <v>1573</v>
      </c>
      <c r="R1" s="308" t="s">
        <v>1574</v>
      </c>
      <c r="S1" s="308" t="s">
        <v>1575</v>
      </c>
      <c r="T1" s="308" t="s">
        <v>1576</v>
      </c>
      <c r="U1" s="308" t="s">
        <v>1577</v>
      </c>
      <c r="V1" s="308" t="s">
        <v>1578</v>
      </c>
      <c r="W1" t="s">
        <v>1579</v>
      </c>
      <c r="X1" t="s">
        <v>1580</v>
      </c>
      <c r="Y1" t="s">
        <v>1581</v>
      </c>
      <c r="Z1" t="s">
        <v>1582</v>
      </c>
      <c r="AA1" t="s">
        <v>1583</v>
      </c>
      <c r="AB1" t="s">
        <v>1584</v>
      </c>
      <c r="AC1" t="s">
        <v>1585</v>
      </c>
      <c r="AD1" t="s">
        <v>1586</v>
      </c>
      <c r="AE1" t="s">
        <v>1587</v>
      </c>
      <c r="AF1" t="s">
        <v>1588</v>
      </c>
      <c r="AG1" t="s">
        <v>1589</v>
      </c>
      <c r="AH1" t="s">
        <v>1590</v>
      </c>
      <c r="AI1" t="s">
        <v>1591</v>
      </c>
      <c r="AJ1" t="s">
        <v>1592</v>
      </c>
      <c r="AK1" t="s">
        <v>1593</v>
      </c>
      <c r="AL1" t="s">
        <v>1594</v>
      </c>
      <c r="AM1" t="s">
        <v>1596</v>
      </c>
      <c r="AN1" t="s">
        <v>1597</v>
      </c>
      <c r="AO1" t="s">
        <v>1595</v>
      </c>
      <c r="AP1" t="s">
        <v>1598</v>
      </c>
      <c r="AQ1" t="s">
        <v>1599</v>
      </c>
      <c r="AR1" t="s">
        <v>1600</v>
      </c>
    </row>
    <row r="2" spans="1:44" s="8" customFormat="1" ht="12.5" hidden="1">
      <c r="A2" s="310" t="e">
        <f>#REF!</f>
        <v>#REF!</v>
      </c>
      <c r="B2" s="310" t="str">
        <f t="array" ref="B2">IF(INDEX(TBL_Q_05_PAS_C1[Response], MATCH(1, (B3=TBL_Q_05_PAS_C1[Index_Ref])*(B4=TBL_Q_05_PAS_C1[Ref]),0))&lt;&gt;"", INDEX(TBL_Q_05_PAS_C1[Response], MATCH(1, (B3=TBL_Q_05_PAS_C1[Index_Ref])*(B4=TBL_Q_05_PAS_C1[Ref]),0)), "")</f>
        <v/>
      </c>
      <c r="C2" s="310" t="str">
        <f t="array" ref="C2">IF(INDEX(TBL_Q_05_PAS_C1[Response], MATCH(1, (C3=TBL_Q_05_PAS_C1[Index_Ref])*(C4=TBL_Q_05_PAS_C1[Ref]),0))&lt;&gt;"", INDEX(TBL_Q_05_PAS_C1[Response], MATCH(1, (C3=TBL_Q_05_PAS_C1[Index_Ref])*(C4=TBL_Q_05_PAS_C1[Ref]),0)), "")</f>
        <v/>
      </c>
      <c r="D2" s="310" t="str">
        <f t="array" ref="D2">IF(INDEX(TBL_Q_05_PAS_C1[Response], MATCH(1, (D3=TBL_Q_05_PAS_C1[Index_Ref])*(D4=TBL_Q_05_PAS_C1[Ref]),0))&lt;&gt;"", INDEX(TBL_Q_05_PAS_C1[Response], MATCH(1, (D3=TBL_Q_05_PAS_C1[Index_Ref])*(D4=TBL_Q_05_PAS_C1[Ref]),0)), "")</f>
        <v/>
      </c>
      <c r="E2" s="310" t="str">
        <f t="array" ref="E2">IF(INDEX(TBL_Q_05_PAS_C1[Response], MATCH(1, (E3=TBL_Q_05_PAS_C1[Index_Ref])*(E4=TBL_Q_05_PAS_C1[Ref]),0))&lt;&gt;"", INDEX(TBL_Q_05_PAS_C1[Response], MATCH(1, (E3=TBL_Q_05_PAS_C1[Index_Ref])*(E4=TBL_Q_05_PAS_C1[Ref]),0)), "")</f>
        <v/>
      </c>
      <c r="F2" s="310" t="str">
        <f t="array" ref="F2">IF(INDEX(TBL_Q_05_PAS_C1[Response], MATCH(1, (F3=TBL_Q_05_PAS_C1[Index_Ref])*(F4=TBL_Q_05_PAS_C1[Ref]),0))&lt;&gt;"", INDEX(TBL_Q_05_PAS_C1[Response], MATCH(1, (F3=TBL_Q_05_PAS_C1[Index_Ref])*(F4=TBL_Q_05_PAS_C1[Ref]),0)), "")</f>
        <v/>
      </c>
      <c r="G2" s="310" t="str">
        <f t="array" ref="G2">IF(INDEX(TBL_Q_05_PAS_C1[Response], MATCH(1, (G3=TBL_Q_05_PAS_C1[Index_Ref])*(G4=TBL_Q_05_PAS_C1[Ref]),0))&lt;&gt;"", INDEX(TBL_Q_05_PAS_C1[Response], MATCH(1, (G3=TBL_Q_05_PAS_C1[Index_Ref])*(G4=TBL_Q_05_PAS_C1[Ref]),0)), "")</f>
        <v/>
      </c>
      <c r="H2" s="310" t="str">
        <f t="array" ref="H2">IF(INDEX(TBL_Q_05_PAS_C1[Response], MATCH(1, (H3=TBL_Q_05_PAS_C1[Index_Ref])*(H4=TBL_Q_05_PAS_C1[Ref]),0))&lt;&gt;"", INDEX(TBL_Q_05_PAS_C1[Response], MATCH(1, (H3=TBL_Q_05_PAS_C1[Index_Ref])*(H4=TBL_Q_05_PAS_C1[Ref]),0)), "")</f>
        <v/>
      </c>
      <c r="I2" s="310" t="str">
        <f t="array" ref="I2">IF(INDEX(TBL_Q_05_PAS_C1[Response], MATCH(1, (I3=TBL_Q_05_PAS_C1[Index_Ref])*(I4=TBL_Q_05_PAS_C1[Ref]),0))&lt;&gt;"", INDEX(TBL_Q_05_PAS_C1[Response], MATCH(1, (I3=TBL_Q_05_PAS_C1[Index_Ref])*(I4=TBL_Q_05_PAS_C1[Ref]),0)), "")</f>
        <v/>
      </c>
      <c r="J2" s="310" t="str">
        <f t="array" ref="J2">IF(INDEX(TBL_Q_05_PAS_C1[Response], MATCH(1, (J3=TBL_Q_05_PAS_C1[Index_Ref])*(J4=TBL_Q_05_PAS_C1[Ref]),0))&lt;&gt;"", INDEX(TBL_Q_05_PAS_C1[Response], MATCH(1, (J3=TBL_Q_05_PAS_C1[Index_Ref])*(J4=TBL_Q_05_PAS_C1[Ref]),0)), "")</f>
        <v/>
      </c>
      <c r="K2" s="310" t="str">
        <f t="array" ref="K2">IF(INDEX(TBL_Q_05_PAS_C1[Response], MATCH(1, (K3=TBL_Q_05_PAS_C1[Index_Ref])*(K4=TBL_Q_05_PAS_C1[Ref]),0))&lt;&gt;"", INDEX(TBL_Q_05_PAS_C1[Response], MATCH(1, (K3=TBL_Q_05_PAS_C1[Index_Ref])*(K4=TBL_Q_05_PAS_C1[Ref]),0)), "")</f>
        <v/>
      </c>
      <c r="L2" s="310" t="str">
        <f t="array" ref="L2">IF(INDEX(TBL_Q_05_PAS_C1[Response], MATCH(1, (L3=TBL_Q_05_PAS_C1[Index_Ref])*(L4=TBL_Q_05_PAS_C1[Ref]),0))&lt;&gt;"", INDEX(TBL_Q_05_PAS_C1[Response], MATCH(1, (L3=TBL_Q_05_PAS_C1[Index_Ref])*(L4=TBL_Q_05_PAS_C1[Ref]),0)), "")</f>
        <v/>
      </c>
      <c r="M2" s="310" t="str">
        <f t="array" ref="M2">IF(INDEX(TBL_Q_05_PAS_C1[Response], MATCH(1, (M3=TBL_Q_05_PAS_C1[Index_Ref])*(M4=TBL_Q_05_PAS_C1[Ref]),0))&lt;&gt;"", INDEX(TBL_Q_05_PAS_C1[Response], MATCH(1, (M3=TBL_Q_05_PAS_C1[Index_Ref])*(M4=TBL_Q_05_PAS_C1[Ref]),0)), "")</f>
        <v/>
      </c>
      <c r="N2" s="310" t="str">
        <f t="array" ref="N2">IF(INDEX(TBL_Q_05_PAS_C1[Response], MATCH(1, (N3=TBL_Q_05_PAS_C1[Index_Ref])*(N4=TBL_Q_05_PAS_C1[Ref]),0))&lt;&gt;"", INDEX(TBL_Q_05_PAS_C1[Response], MATCH(1, (N3=TBL_Q_05_PAS_C1[Index_Ref])*(N4=TBL_Q_05_PAS_C1[Ref]),0)), "")</f>
        <v/>
      </c>
      <c r="O2" s="324" t="str">
        <f t="array" ref="O2">IF(INDEX(TBL_Q_05_PAS_C1[Response], MATCH(1, (O3=TBL_Q_05_PAS_C1[Index_Ref])*(O4=TBL_Q_05_PAS_C1[Ref]),0))&lt;&gt;"", INDEX(TBL_Q_05_PAS_C1[Response], MATCH(1, (O3=TBL_Q_05_PAS_C1[Index_Ref])*(O4=TBL_Q_05_PAS_C1[Ref]),0)), "")</f>
        <v/>
      </c>
      <c r="P2" s="324" t="str">
        <f t="array" ref="P2">IF(INDEX(TBL_Q_05_PAS_C1[Response], MATCH(1, (P3=TBL_Q_05_PAS_C1[Index_Ref])*(P4=TBL_Q_05_PAS_C1[Ref]),0))&lt;&gt;"", INDEX(TBL_Q_05_PAS_C1[Response], MATCH(1, (P3=TBL_Q_05_PAS_C1[Index_Ref])*(P4=TBL_Q_05_PAS_C1[Ref]),0)), "")</f>
        <v/>
      </c>
      <c r="Q2" s="310" t="str">
        <f t="array" ref="Q2">IF(INDEX(TBL_Q_05_PAS_C1[Response], MATCH(1, (Q3=TBL_Q_05_PAS_C1[Index_Ref])*(Q4=TBL_Q_05_PAS_C1[Ref]),0))&lt;&gt;"", INDEX(TBL_Q_05_PAS_C1[Response], MATCH(1, (Q3=TBL_Q_05_PAS_C1[Index_Ref])*(Q4=TBL_Q_05_PAS_C1[Ref]),0)), "")</f>
        <v/>
      </c>
      <c r="R2" s="310" t="str">
        <f t="array" ref="R2">IF(INDEX(TBL_Q_05_PAS_C1[Response], MATCH(1, (R3=TBL_Q_05_PAS_C1[Index_Ref])*(R4=TBL_Q_05_PAS_C1[Ref]),0))&lt;&gt;"", INDEX(TBL_Q_05_PAS_C1[Response], MATCH(1, (R3=TBL_Q_05_PAS_C1[Index_Ref])*(R4=TBL_Q_05_PAS_C1[Ref]),0)), "")</f>
        <v/>
      </c>
      <c r="S2" s="310" t="str">
        <f t="array" ref="S2">IF(INDEX(TBL_Q_05_PAS_C1[Response], MATCH(1, (S3=TBL_Q_05_PAS_C1[Index_Ref])*(S4=TBL_Q_05_PAS_C1[Ref]),0))&lt;&gt;"", INDEX(TBL_Q_05_PAS_C1[Response], MATCH(1, (S3=TBL_Q_05_PAS_C1[Index_Ref])*(S4=TBL_Q_05_PAS_C1[Ref]),0)), "")</f>
        <v/>
      </c>
      <c r="T2" s="310" t="str">
        <f t="array" ref="T2">IF(INDEX(TBL_Q_05_PAS_C1[Response], MATCH(1, (T3=TBL_Q_05_PAS_C1[Index_Ref])*(T4=TBL_Q_05_PAS_C1[Ref]),0))&lt;&gt;"", INDEX(TBL_Q_05_PAS_C1[Response], MATCH(1, (T3=TBL_Q_05_PAS_C1[Index_Ref])*(T4=TBL_Q_05_PAS_C1[Ref]),0)), "")</f>
        <v/>
      </c>
      <c r="U2" s="310" t="str">
        <f t="array" ref="U2">IF(INDEX(TBL_Q_05_PAS_C1[Response], MATCH(1, (U3=TBL_Q_05_PAS_C1[Index_Ref])*(U4=TBL_Q_05_PAS_C1[Ref]),0))&lt;&gt;"", INDEX(TBL_Q_05_PAS_C1[Response], MATCH(1, (U3=TBL_Q_05_PAS_C1[Index_Ref])*(U4=TBL_Q_05_PAS_C1[Ref]),0)), "")</f>
        <v/>
      </c>
      <c r="V2" s="310" t="str">
        <f t="array" ref="V2">IF(INDEX(TBL_Q_05_PAS_C1[Response], MATCH(1, (V3=TBL_Q_05_PAS_C1[Index_Ref])*(V4=TBL_Q_05_PAS_C1[Ref]),0))&lt;&gt;"", INDEX(TBL_Q_05_PAS_C1[Response], MATCH(1, (V3=TBL_Q_05_PAS_C1[Index_Ref])*(V4=TBL_Q_05_PAS_C1[Ref]),0)), "")</f>
        <v/>
      </c>
      <c r="W2" s="324" t="str">
        <f t="array" ref="W2">IF(INDEX(TBL_Q_05_PAS_C1[Response], MATCH(1, (W3=TBL_Q_05_PAS_C1[Index_Ref])*(W4=TBL_Q_05_PAS_C1[Ref]),0))&lt;&gt;"", INDEX(TBL_Q_05_PAS_C1[Response], MATCH(1, (W3=TBL_Q_05_PAS_C1[Index_Ref])*(W4=TBL_Q_05_PAS_C1[Ref]),0)), "")</f>
        <v/>
      </c>
      <c r="X2" s="310" t="str">
        <f t="array" ref="X2">IF(INDEX(TBL_Q_05_PAS_C1[Response], MATCH(1, (X3=TBL_Q_05_PAS_C1[Index_Ref])*(X4=TBL_Q_05_PAS_C1[Ref]),0))&lt;&gt;"", INDEX(TBL_Q_05_PAS_C1[Response], MATCH(1, (X3=TBL_Q_05_PAS_C1[Index_Ref])*(X4=TBL_Q_05_PAS_C1[Ref]),0)), "")</f>
        <v/>
      </c>
      <c r="Y2" s="324" t="str">
        <f t="array" ref="Y2">IF(INDEX(TBL_Q_05_PAS_C1[Response], MATCH(1, (Y3=TBL_Q_05_PAS_C1[Index_Ref])*(Y4=TBL_Q_05_PAS_C1[Ref]),0))&lt;&gt;"", INDEX(TBL_Q_05_PAS_C1[Response], MATCH(1, (Y3=TBL_Q_05_PAS_C1[Index_Ref])*(Y4=TBL_Q_05_PAS_C1[Ref]),0)), "")</f>
        <v/>
      </c>
      <c r="Z2" s="324" t="str">
        <f t="array" ref="Z2">IF(INDEX(TBL_Q_05_PAS_C1[Response], MATCH(1, (Z3=TBL_Q_05_PAS_C1[Index_Ref])*(Z4=TBL_Q_05_PAS_C1[Ref]),0))&lt;&gt;"", INDEX(TBL_Q_05_PAS_C1[Response], MATCH(1, (Z3=TBL_Q_05_PAS_C1[Index_Ref])*(Z4=TBL_Q_05_PAS_C1[Ref]),0)), "")</f>
        <v/>
      </c>
      <c r="AA2" s="310" t="str">
        <f t="array" ref="AA2">IF(INDEX(TBL_Q_05_PAS_C1[Response], MATCH(1, (AA3=TBL_Q_05_PAS_C1[Index_Ref])*(AA4=TBL_Q_05_PAS_C1[Ref]),0))&lt;&gt;"", INDEX(TBL_Q_05_PAS_C1[Response], MATCH(1, (AA3=TBL_Q_05_PAS_C1[Index_Ref])*(AA4=TBL_Q_05_PAS_C1[Ref]),0)), "")</f>
        <v/>
      </c>
      <c r="AB2" s="310" t="str">
        <f t="array" ref="AB2">IF(INDEX(TBL_Q_05_PAS_C1[Response], MATCH(1, (AB3=TBL_Q_05_PAS_C1[Index_Ref])*(AB4=TBL_Q_05_PAS_C1[Ref]),0))&lt;&gt;"", INDEX(TBL_Q_05_PAS_C1[Response], MATCH(1, (AB3=TBL_Q_05_PAS_C1[Index_Ref])*(AB4=TBL_Q_05_PAS_C1[Ref]),0)), "")</f>
        <v/>
      </c>
      <c r="AC2" s="310" t="str">
        <f t="array" ref="AC2">IF(INDEX(TBL_Q_05_PAS_C1[Response], MATCH(1, (AC3=TBL_Q_05_PAS_C1[Index_Ref])*(AC4=TBL_Q_05_PAS_C1[Ref]),0))&lt;&gt;"", INDEX(TBL_Q_05_PAS_C1[Response], MATCH(1, (AC3=TBL_Q_05_PAS_C1[Index_Ref])*(AC4=TBL_Q_05_PAS_C1[Ref]),0)), "")</f>
        <v/>
      </c>
      <c r="AD2" s="310" t="str">
        <f t="array" ref="AD2">IF(INDEX(TBL_Q_05_PAS_C1[Response], MATCH(1, (AD3=TBL_Q_05_PAS_C1[Index_Ref])*(AD4=TBL_Q_05_PAS_C1[Ref]),0))&lt;&gt;"", INDEX(TBL_Q_05_PAS_C1[Response], MATCH(1, (AD3=TBL_Q_05_PAS_C1[Index_Ref])*(AD4=TBL_Q_05_PAS_C1[Ref]),0)), "")</f>
        <v/>
      </c>
      <c r="AE2" s="310" t="str">
        <f t="array" ref="AE2">IF(INDEX(TBL_Q_05_PAS_C1[Response], MATCH(1, (AE3=TBL_Q_05_PAS_C1[Index_Ref])*(AE4=TBL_Q_05_PAS_C1[Ref]),0))&lt;&gt;"", INDEX(TBL_Q_05_PAS_C1[Response], MATCH(1, (AE3=TBL_Q_05_PAS_C1[Index_Ref])*(AE4=TBL_Q_05_PAS_C1[Ref]),0)), "")</f>
        <v/>
      </c>
      <c r="AF2" s="310" t="str">
        <f t="array" ref="AF2">IF(INDEX(TBL_Q_05_PAS_C1[Response], MATCH(1, (AF3=TBL_Q_05_PAS_C1[Index_Ref])*(AF4=TBL_Q_05_PAS_C1[Ref]),0))&lt;&gt;"", INDEX(TBL_Q_05_PAS_C1[Response], MATCH(1, (AF3=TBL_Q_05_PAS_C1[Index_Ref])*(AF4=TBL_Q_05_PAS_C1[Ref]),0)), "")</f>
        <v/>
      </c>
      <c r="AG2" s="310" t="str">
        <f t="array" ref="AG2">IF(INDEX(TBL_Q_05_PAS_C1[Response], MATCH(1, (AG3=TBL_Q_05_PAS_C1[Index_Ref])*(AG4=TBL_Q_05_PAS_C1[Ref]),0))&lt;&gt;"", INDEX(TBL_Q_05_PAS_C1[Response], MATCH(1, (AG3=TBL_Q_05_PAS_C1[Index_Ref])*(AG4=TBL_Q_05_PAS_C1[Ref]),0)), "")</f>
        <v/>
      </c>
      <c r="AH2" s="310" t="str">
        <f t="array" ref="AH2">IF(INDEX(TBL_Q_05_PAS_C1[Response], MATCH(1, (AH3=TBL_Q_05_PAS_C1[Index_Ref])*(AH4=TBL_Q_05_PAS_C1[Ref]),0))&lt;&gt;"", INDEX(TBL_Q_05_PAS_C1[Response], MATCH(1, (AH3=TBL_Q_05_PAS_C1[Index_Ref])*(AH4=TBL_Q_05_PAS_C1[Ref]),0)), "")</f>
        <v/>
      </c>
      <c r="AI2" s="310" t="str">
        <f t="array" ref="AI2">IF(INDEX(TBL_Q_05_PAS_C1[Response], MATCH(1, (AI3=TBL_Q_05_PAS_C1[Index_Ref])*(AI4=TBL_Q_05_PAS_C1[Ref]),0))&lt;&gt;"", INDEX(TBL_Q_05_PAS_C1[Response], MATCH(1, (AI3=TBL_Q_05_PAS_C1[Index_Ref])*(AI4=TBL_Q_05_PAS_C1[Ref]),0)), "")</f>
        <v/>
      </c>
      <c r="AJ2" s="310" t="str">
        <f t="array" ref="AJ2">IF(INDEX(TBL_Q_05_PAS_C1[Response], MATCH(1, (AJ3=TBL_Q_05_PAS_C1[Index_Ref])*(AJ4=TBL_Q_05_PAS_C1[Ref]),0))&lt;&gt;"", INDEX(TBL_Q_05_PAS_C1[Response], MATCH(1, (AJ3=TBL_Q_05_PAS_C1[Index_Ref])*(AJ4=TBL_Q_05_PAS_C1[Ref]),0)), "")</f>
        <v/>
      </c>
      <c r="AK2" s="310" t="str">
        <f t="array" ref="AK2">IF(INDEX(TBL_Q_05_PAS_C1[Response], MATCH(1, (AK3=TBL_Q_05_PAS_C1[Index_Ref])*(AK4=TBL_Q_05_PAS_C1[Ref]),0))&lt;&gt;"", INDEX(TBL_Q_05_PAS_C1[Response], MATCH(1, (AK3=TBL_Q_05_PAS_C1[Index_Ref])*(AK4=TBL_Q_05_PAS_C1[Ref]),0)), "")</f>
        <v/>
      </c>
      <c r="AL2" s="310" t="str">
        <f t="array" ref="AL2">IF(INDEX(TBL_Q_05_PAS_C1[Response], MATCH(1, (AL3=TBL_Q_05_PAS_C1[Index_Ref])*(AL4=TBL_Q_05_PAS_C1[Ref]),0))&lt;&gt;"", INDEX(TBL_Q_05_PAS_C1[Response], MATCH(1, (AL3=TBL_Q_05_PAS_C1[Index_Ref])*(AL4=TBL_Q_05_PAS_C1[Ref]),0)), "")</f>
        <v/>
      </c>
      <c r="AM2" s="310" t="str">
        <f t="array" ref="AM2">IF(INDEX(TBL_Q_05_PAS_C1[Response], MATCH(1, (AM3=TBL_Q_05_PAS_C1[Index_Ref])*(AM4=TBL_Q_05_PAS_C1[Ref]),0))&lt;&gt;"", INDEX(TBL_Q_05_PAS_C1[Response], MATCH(1, (AM3=TBL_Q_05_PAS_C1[Index_Ref])*(AM4=TBL_Q_05_PAS_C1[Ref]),0)), "")</f>
        <v/>
      </c>
      <c r="AN2" s="310" t="str">
        <f t="array" ref="AN2">IF(INDEX(TBL_Q_05_PAS_C1[Response], MATCH(1, (AN3=TBL_Q_05_PAS_C1[Index_Ref])*(AN4=TBL_Q_05_PAS_C1[Ref]),0))&lt;&gt;"", INDEX(TBL_Q_05_PAS_C1[Response], MATCH(1, (AN3=TBL_Q_05_PAS_C1[Index_Ref])*(AN4=TBL_Q_05_PAS_C1[Ref]),0)), "")</f>
        <v/>
      </c>
      <c r="AO2" s="310" t="str">
        <f t="array" ref="AO2">IF(INDEX(TBL_Q_05_PAS_C1[Response], MATCH(1, (AO3=TBL_Q_05_PAS_C1[Index_Ref])*(AO4=TBL_Q_05_PAS_C1[Ref]),0))&lt;&gt;"", INDEX(TBL_Q_05_PAS_C1[Response], MATCH(1, (AO3=TBL_Q_05_PAS_C1[Index_Ref])*(AO4=TBL_Q_05_PAS_C1[Ref]),0)), "")</f>
        <v/>
      </c>
      <c r="AP2" s="310" t="str">
        <f t="array" ref="AP2">IF(INDEX(TBL_Q_05_PAS_C1[Response], MATCH(1, (AP3=TBL_Q_05_PAS_C1[Index_Ref])*(AP4=TBL_Q_05_PAS_C1[Ref]),0))&lt;&gt;"", INDEX(TBL_Q_05_PAS_C1[Response], MATCH(1, (AP3=TBL_Q_05_PAS_C1[Index_Ref])*(AP4=TBL_Q_05_PAS_C1[Ref]),0)), "")</f>
        <v/>
      </c>
      <c r="AQ2" s="310" t="str">
        <f t="array" ref="AQ2">IF(INDEX(TBL_Q_05_PAS_C1[Response], MATCH(1, (AQ3=TBL_Q_05_PAS_C1[Index_Ref])*(AQ4=TBL_Q_05_PAS_C1[Ref]),0))&lt;&gt;"", INDEX(TBL_Q_05_PAS_C1[Response], MATCH(1, (AQ3=TBL_Q_05_PAS_C1[Index_Ref])*(AQ4=TBL_Q_05_PAS_C1[Ref]),0)), "")</f>
        <v/>
      </c>
      <c r="AR2" s="310" t="str">
        <f t="array" ref="AR2">IF(INDEX(TBL_Q_05_PAS_C1[Response], MATCH(1, (AR3=TBL_Q_05_PAS_C1[Index_Ref])*(AR4=TBL_Q_05_PAS_C1[Ref]),0))&lt;&gt;"", INDEX(TBL_Q_05_PAS_C1[Response], MATCH(1, (AR3=TBL_Q_05_PAS_C1[Index_Ref])*(AR4=TBL_Q_05_PAS_C1[Ref]),0)), "")</f>
        <v/>
      </c>
    </row>
    <row r="3" spans="1:44" hidden="1">
      <c r="A3" s="309" t="s">
        <v>714</v>
      </c>
      <c r="B3" s="317" t="s">
        <v>588</v>
      </c>
      <c r="C3" s="317" t="s">
        <v>652</v>
      </c>
      <c r="D3" s="317" t="s">
        <v>653</v>
      </c>
      <c r="E3" s="317" t="s">
        <v>654</v>
      </c>
      <c r="F3" s="317" t="s">
        <v>655</v>
      </c>
      <c r="G3" s="317" t="s">
        <v>656</v>
      </c>
      <c r="H3" s="317" t="s">
        <v>657</v>
      </c>
      <c r="I3" s="317" t="s">
        <v>658</v>
      </c>
      <c r="J3" s="317" t="s">
        <v>659</v>
      </c>
      <c r="K3" s="317" t="s">
        <v>660</v>
      </c>
      <c r="L3" s="317" t="s">
        <v>661</v>
      </c>
      <c r="M3" s="317" t="s">
        <v>662</v>
      </c>
      <c r="N3" s="317" t="s">
        <v>663</v>
      </c>
      <c r="O3" s="317" t="s">
        <v>664</v>
      </c>
      <c r="P3" s="317" t="s">
        <v>665</v>
      </c>
      <c r="Q3" s="317" t="s">
        <v>666</v>
      </c>
      <c r="R3" s="317" t="s">
        <v>667</v>
      </c>
      <c r="S3" s="318" t="s">
        <v>668</v>
      </c>
      <c r="T3" s="318" t="s">
        <v>669</v>
      </c>
      <c r="U3" s="318" t="s">
        <v>670</v>
      </c>
      <c r="V3" s="318" t="s">
        <v>671</v>
      </c>
      <c r="W3" s="318" t="s">
        <v>675</v>
      </c>
      <c r="X3" s="318" t="s">
        <v>676</v>
      </c>
      <c r="Y3" s="318" t="s">
        <v>594</v>
      </c>
      <c r="Z3" s="318" t="s">
        <v>595</v>
      </c>
      <c r="AA3" s="318" t="s">
        <v>596</v>
      </c>
      <c r="AB3" s="318" t="s">
        <v>597</v>
      </c>
      <c r="AC3" s="318" t="s">
        <v>598</v>
      </c>
      <c r="AD3" s="318" t="s">
        <v>690</v>
      </c>
      <c r="AE3" s="318" t="s">
        <v>599</v>
      </c>
      <c r="AF3" s="318" t="s">
        <v>701</v>
      </c>
      <c r="AG3" s="318" t="s">
        <v>702</v>
      </c>
      <c r="AH3" s="318" t="s">
        <v>703</v>
      </c>
      <c r="AI3" s="318" t="s">
        <v>704</v>
      </c>
      <c r="AJ3" s="318" t="s">
        <v>705</v>
      </c>
      <c r="AK3" s="318" t="s">
        <v>706</v>
      </c>
      <c r="AL3" s="318" t="s">
        <v>707</v>
      </c>
      <c r="AM3" s="318" t="s">
        <v>708</v>
      </c>
      <c r="AN3" s="318" t="s">
        <v>709</v>
      </c>
      <c r="AO3" s="318" t="s">
        <v>710</v>
      </c>
      <c r="AP3" s="318" t="s">
        <v>711</v>
      </c>
      <c r="AQ3" s="318" t="s">
        <v>712</v>
      </c>
      <c r="AR3" s="318" t="s">
        <v>713</v>
      </c>
    </row>
    <row r="4" spans="1:44" hidden="1">
      <c r="A4" s="309" t="s">
        <v>90</v>
      </c>
      <c r="B4" s="319" t="s">
        <v>612</v>
      </c>
      <c r="C4" s="319" t="s">
        <v>613</v>
      </c>
      <c r="D4" s="319" t="s">
        <v>614</v>
      </c>
      <c r="E4" s="319" t="s">
        <v>615</v>
      </c>
      <c r="F4" s="319" t="s">
        <v>616</v>
      </c>
      <c r="G4" s="319" t="s">
        <v>617</v>
      </c>
      <c r="H4" s="319" t="s">
        <v>618</v>
      </c>
      <c r="I4" s="319" t="s">
        <v>619</v>
      </c>
      <c r="J4" s="319" t="s">
        <v>620</v>
      </c>
      <c r="K4" s="319" t="s">
        <v>621</v>
      </c>
      <c r="L4" s="319" t="s">
        <v>622</v>
      </c>
      <c r="M4" s="319" t="s">
        <v>623</v>
      </c>
      <c r="N4" s="319" t="s">
        <v>624</v>
      </c>
      <c r="O4" s="319" t="s">
        <v>625</v>
      </c>
      <c r="P4" s="319" t="s">
        <v>626</v>
      </c>
      <c r="Q4" s="319" t="s">
        <v>627</v>
      </c>
      <c r="R4" s="319" t="s">
        <v>628</v>
      </c>
      <c r="S4" s="318" t="s">
        <v>629</v>
      </c>
      <c r="T4" s="318" t="s">
        <v>630</v>
      </c>
      <c r="U4" s="318" t="s">
        <v>631</v>
      </c>
      <c r="V4" s="318" t="s">
        <v>632</v>
      </c>
      <c r="W4" s="318" t="s">
        <v>633</v>
      </c>
      <c r="X4" s="318" t="s">
        <v>634</v>
      </c>
      <c r="Y4" s="318" t="s">
        <v>635</v>
      </c>
      <c r="Z4" s="318" t="s">
        <v>636</v>
      </c>
      <c r="AA4" s="318" t="s">
        <v>637</v>
      </c>
      <c r="AB4" s="318" t="s">
        <v>638</v>
      </c>
      <c r="AC4" s="318" t="s">
        <v>639</v>
      </c>
      <c r="AD4" s="318" t="s">
        <v>715</v>
      </c>
      <c r="AE4" s="318" t="s">
        <v>716</v>
      </c>
      <c r="AF4" s="318" t="s">
        <v>717</v>
      </c>
      <c r="AG4" s="318" t="s">
        <v>718</v>
      </c>
      <c r="AH4" s="318" t="s">
        <v>719</v>
      </c>
      <c r="AI4" s="318" t="s">
        <v>720</v>
      </c>
      <c r="AJ4" s="318" t="s">
        <v>721</v>
      </c>
      <c r="AK4" s="318" t="s">
        <v>722</v>
      </c>
      <c r="AL4" s="318" t="s">
        <v>723</v>
      </c>
      <c r="AM4" s="318" t="s">
        <v>724</v>
      </c>
      <c r="AN4" s="318" t="s">
        <v>725</v>
      </c>
      <c r="AO4" s="318" t="s">
        <v>726</v>
      </c>
      <c r="AP4" s="318" t="s">
        <v>727</v>
      </c>
      <c r="AQ4" s="318" t="s">
        <v>728</v>
      </c>
      <c r="AR4" s="318" t="s">
        <v>729</v>
      </c>
    </row>
    <row r="5" spans="1:44" hidden="1"/>
    <row r="6" spans="1:44" hidden="1">
      <c r="A6" s="321" t="s">
        <v>1549</v>
      </c>
      <c r="B6" s="322" t="s">
        <v>1601</v>
      </c>
      <c r="C6" s="322" t="s">
        <v>1602</v>
      </c>
      <c r="D6" s="322" t="s">
        <v>1603</v>
      </c>
      <c r="E6" s="322" t="s">
        <v>1604</v>
      </c>
      <c r="F6" s="322" t="s">
        <v>1605</v>
      </c>
      <c r="G6" s="323" t="s">
        <v>1606</v>
      </c>
      <c r="H6" s="323" t="s">
        <v>1607</v>
      </c>
      <c r="I6" s="323" t="s">
        <v>1608</v>
      </c>
      <c r="J6" s="323" t="s">
        <v>1609</v>
      </c>
      <c r="K6" s="323" t="s">
        <v>1610</v>
      </c>
      <c r="L6" s="325" t="s">
        <v>1611</v>
      </c>
      <c r="M6" s="325" t="s">
        <v>1612</v>
      </c>
      <c r="N6" s="325" t="s">
        <v>1613</v>
      </c>
      <c r="O6" s="325" t="s">
        <v>1614</v>
      </c>
      <c r="P6" s="325" t="s">
        <v>1615</v>
      </c>
      <c r="Q6" s="325" t="s">
        <v>1616</v>
      </c>
      <c r="R6" s="325" t="s">
        <v>1617</v>
      </c>
      <c r="S6" s="325" t="s">
        <v>1618</v>
      </c>
      <c r="T6" s="325" t="s">
        <v>1619</v>
      </c>
      <c r="U6" s="325" t="s">
        <v>1620</v>
      </c>
      <c r="V6" s="325" t="s">
        <v>1621</v>
      </c>
      <c r="W6" s="325" t="s">
        <v>1622</v>
      </c>
      <c r="X6" s="325" t="s">
        <v>1623</v>
      </c>
    </row>
    <row r="7" spans="1:44" s="8" customFormat="1" ht="12.5" hidden="1">
      <c r="A7" s="310" t="e">
        <f>#REF!</f>
        <v>#REF!</v>
      </c>
      <c r="B7" s="310" t="str">
        <f t="array" ref="B7">IF(INDEX(TBL_Q_05_PAS_C2_A[Response], MATCH(1, (B8=TBL_Q_05_PAS_C2_A[Index_Ref])*(B9=TBL_Q_05_PAS_C2_A[Ref]),0))&lt;&gt;"", INDEX(TBL_Q_05_PAS_C2_A[Response], MATCH(1, (B8=TBL_Q_05_PAS_C2_A[Index_Ref])*(B9=TBL_Q_05_PAS_C2_A[Ref]),0)), "")</f>
        <v/>
      </c>
      <c r="C7" s="310" t="str">
        <f t="array" ref="C7">IF(INDEX(TBL_Q_05_PAS_C2_A[Response], MATCH(1, (C8=TBL_Q_05_PAS_C2_A[Index_Ref])*(C9=TBL_Q_05_PAS_C2_A[Ref]),0))&lt;&gt;"", INDEX(TBL_Q_05_PAS_C2_A[Response], MATCH(1, (C8=TBL_Q_05_PAS_C2_A[Index_Ref])*(C9=TBL_Q_05_PAS_C2_A[Ref]),0)), "")</f>
        <v/>
      </c>
      <c r="D7" s="310" t="str">
        <f t="array" ref="D7">IF(INDEX(TBL_Q_05_PAS_C2_A[Response], MATCH(1, (D8=TBL_Q_05_PAS_C2_A[Index_Ref])*(D9=TBL_Q_05_PAS_C2_A[Ref]),0))&lt;&gt;"", INDEX(TBL_Q_05_PAS_C2_A[Response], MATCH(1, (D8=TBL_Q_05_PAS_C2_A[Index_Ref])*(D9=TBL_Q_05_PAS_C2_A[Ref]),0)), "")</f>
        <v/>
      </c>
      <c r="E7" s="310" t="str">
        <f t="array" ref="E7">IF(INDEX(TBL_Q_05_PAS_C2_A[Response], MATCH(1, (E8=TBL_Q_05_PAS_C2_A[Index_Ref])*(E9=TBL_Q_05_PAS_C2_A[Ref]),0))&lt;&gt;"", INDEX(TBL_Q_05_PAS_C2_A[Response], MATCH(1, (E8=TBL_Q_05_PAS_C2_A[Index_Ref])*(E9=TBL_Q_05_PAS_C2_A[Ref]),0)), "")</f>
        <v/>
      </c>
      <c r="F7" s="310" t="str">
        <f t="array" ref="F7">IF(INDEX(TBL_Q_05_PAS_C2_A[Response], MATCH(1, (F8=TBL_Q_05_PAS_C2_A[Index_Ref])*(F9=TBL_Q_05_PAS_C2_A[Ref]),0))&lt;&gt;"", INDEX(TBL_Q_05_PAS_C2_A[Response], MATCH(1, (F8=TBL_Q_05_PAS_C2_A[Index_Ref])*(F9=TBL_Q_05_PAS_C2_A[Ref]),0)), "")</f>
        <v/>
      </c>
      <c r="G7" s="310" t="str">
        <f t="array" ref="G7">IF(INDEX(TBL_Q_05_PAS_C2_B[Response], MATCH(1, (G8=TBL_Q_05_PAS_C2_B[Index_Ref])*(G9=TBL_Q_05_PAS_C2_B[Ref]),0))&lt;&gt;"", INDEX(TBL_Q_05_PAS_C2_B[Response], MATCH(1, (G8=TBL_Q_05_PAS_C2_B[Index_Ref])*(G9=TBL_Q_05_PAS_C2_B[Ref]),0)), "")</f>
        <v/>
      </c>
      <c r="H7" s="310" t="str">
        <f t="array" ref="H7">IF(INDEX(TBL_Q_05_PAS_C2_B[Response], MATCH(1, (H8=TBL_Q_05_PAS_C2_B[Index_Ref])*(H9=TBL_Q_05_PAS_C2_B[Ref]),0))&lt;&gt;"", INDEX(TBL_Q_05_PAS_C2_B[Response], MATCH(1, (H8=TBL_Q_05_PAS_C2_B[Index_Ref])*(H9=TBL_Q_05_PAS_C2_B[Ref]),0)), "")</f>
        <v/>
      </c>
      <c r="I7" s="310" t="str">
        <f t="array" ref="I7">IF(INDEX(TBL_Q_05_PAS_C2_B[Response], MATCH(1, (I8=TBL_Q_05_PAS_C2_B[Index_Ref])*(I9=TBL_Q_05_PAS_C2_B[Ref]),0))&lt;&gt;"", INDEX(TBL_Q_05_PAS_C2_B[Response], MATCH(1, (I8=TBL_Q_05_PAS_C2_B[Index_Ref])*(I9=TBL_Q_05_PAS_C2_B[Ref]),0)), "")</f>
        <v/>
      </c>
      <c r="J7" s="310" t="str">
        <f t="array" ref="J7">IF(INDEX(TBL_Q_05_PAS_C2_B[Response], MATCH(1, (J8=TBL_Q_05_PAS_C2_B[Index_Ref])*(J9=TBL_Q_05_PAS_C2_B[Ref]),0))&lt;&gt;"", INDEX(TBL_Q_05_PAS_C2_B[Response], MATCH(1, (J8=TBL_Q_05_PAS_C2_B[Index_Ref])*(J9=TBL_Q_05_PAS_C2_B[Ref]),0)), "")</f>
        <v/>
      </c>
      <c r="K7" s="310" t="str">
        <f t="array" ref="K7">IF(INDEX(TBL_Q_05_PAS_C2_B[Response], MATCH(1, (K8=TBL_Q_05_PAS_C2_B[Index_Ref])*(K9=TBL_Q_05_PAS_C2_B[Ref]),0))&lt;&gt;"", INDEX(TBL_Q_05_PAS_C2_B[Response], MATCH(1, (K8=TBL_Q_05_PAS_C2_B[Index_Ref])*(K9=TBL_Q_05_PAS_C2_B[Ref]),0)), "")</f>
        <v/>
      </c>
      <c r="L7" s="310" t="str">
        <f t="array" ref="L7">IF(INDEX(TBL_Q_05_PAS_C2_B[Response], MATCH(1, (L8=TBL_Q_05_PAS_C2_B[Index_Ref])*(L9=TBL_Q_05_PAS_C2_B[Ref]),0))&lt;&gt;"", INDEX(TBL_Q_05_PAS_C2_B[Response], MATCH(1, (L8=TBL_Q_05_PAS_C2_B[Index_Ref])*(L9=TBL_Q_05_PAS_C2_B[Ref]),0)), "")</f>
        <v/>
      </c>
      <c r="M7" s="310" t="str">
        <f t="array" ref="M7">IF(INDEX(TBL_Q_05_PAS_C2_B[Response], MATCH(1, (M8=TBL_Q_05_PAS_C2_B[Index_Ref])*(M9=TBL_Q_05_PAS_C2_B[Ref]),0))&lt;&gt;"", INDEX(TBL_Q_05_PAS_C2_B[Response], MATCH(1, (M8=TBL_Q_05_PAS_C2_B[Index_Ref])*(M9=TBL_Q_05_PAS_C2_B[Ref]),0)), "")</f>
        <v/>
      </c>
      <c r="N7" s="310" t="str">
        <f t="array" ref="N7">IF(INDEX(TBL_Q_05_PAS_C2_B[Response], MATCH(1, (N8=TBL_Q_05_PAS_C2_B[Index_Ref])*(N9=TBL_Q_05_PAS_C2_B[Ref]),0))&lt;&gt;"", INDEX(TBL_Q_05_PAS_C2_B[Response], MATCH(1, (N8=TBL_Q_05_PAS_C2_B[Index_Ref])*(N9=TBL_Q_05_PAS_C2_B[Ref]),0)), "")</f>
        <v/>
      </c>
      <c r="O7" s="310" t="str">
        <f t="array" ref="O7">IF(INDEX(TBL_Q_05_PAS_C2_B[Response], MATCH(1, (O8=TBL_Q_05_PAS_C2_B[Index_Ref])*(O9=TBL_Q_05_PAS_C2_B[Ref]),0))&lt;&gt;"", INDEX(TBL_Q_05_PAS_C2_B[Response], MATCH(1, (O8=TBL_Q_05_PAS_C2_B[Index_Ref])*(O9=TBL_Q_05_PAS_C2_B[Ref]),0)), "")</f>
        <v/>
      </c>
      <c r="P7" s="310" t="str">
        <f t="array" ref="P7">IF(INDEX(TBL_Q_05_PAS_C2_B[Response], MATCH(1, (P8=TBL_Q_05_PAS_C2_B[Index_Ref])*(P9=TBL_Q_05_PAS_C2_B[Ref]),0))&lt;&gt;"", INDEX(TBL_Q_05_PAS_C2_B[Response], MATCH(1, (P8=TBL_Q_05_PAS_C2_B[Index_Ref])*(P9=TBL_Q_05_PAS_C2_B[Ref]),0)), "")</f>
        <v/>
      </c>
      <c r="Q7" s="310" t="str">
        <f t="array" ref="Q7">IF(INDEX(TBL_Q_05_PAS_C2_B[Response], MATCH(1, (Q8=TBL_Q_05_PAS_C2_B[Index_Ref])*(Q9=TBL_Q_05_PAS_C2_B[Ref]),0))&lt;&gt;"", INDEX(TBL_Q_05_PAS_C2_B[Response], MATCH(1, (Q8=TBL_Q_05_PAS_C2_B[Index_Ref])*(Q9=TBL_Q_05_PAS_C2_B[Ref]),0)), "")</f>
        <v/>
      </c>
      <c r="R7" s="310" t="str">
        <f t="array" ref="R7">IF(INDEX(TBL_Q_05_PAS_C2_B[Response], MATCH(1, (R8=TBL_Q_05_PAS_C2_B[Index_Ref])*(R9=TBL_Q_05_PAS_C2_B[Ref]),0))&lt;&gt;"", INDEX(TBL_Q_05_PAS_C2_B[Response], MATCH(1, (R8=TBL_Q_05_PAS_C2_B[Index_Ref])*(R9=TBL_Q_05_PAS_C2_B[Ref]),0)), "")</f>
        <v/>
      </c>
      <c r="S7" s="310" t="str">
        <f t="array" ref="S7">IF(INDEX(TBL_Q_05_PAS_C2_B[Response], MATCH(1, (S8=TBL_Q_05_PAS_C2_B[Index_Ref])*(S9=TBL_Q_05_PAS_C2_B[Ref]),0))&lt;&gt;"", INDEX(TBL_Q_05_PAS_C2_B[Response], MATCH(1, (S8=TBL_Q_05_PAS_C2_B[Index_Ref])*(S9=TBL_Q_05_PAS_C2_B[Ref]),0)), "")</f>
        <v/>
      </c>
      <c r="T7" s="310" t="str">
        <f t="array" ref="T7">IF(INDEX(TBL_Q_05_PAS_C2_B[Response], MATCH(1, (T8=TBL_Q_05_PAS_C2_B[Index_Ref])*(T9=TBL_Q_05_PAS_C2_B[Ref]),0))&lt;&gt;"", INDEX(TBL_Q_05_PAS_C2_B[Response], MATCH(1, (T8=TBL_Q_05_PAS_C2_B[Index_Ref])*(T9=TBL_Q_05_PAS_C2_B[Ref]),0)), "")</f>
        <v/>
      </c>
      <c r="U7" s="310" t="str">
        <f t="array" ref="U7">IF(INDEX(TBL_Q_05_PAS_C2_B[Response], MATCH(1, (U8=TBL_Q_05_PAS_C2_B[Index_Ref])*(U9=TBL_Q_05_PAS_C2_B[Ref]),0))&lt;&gt;"", INDEX(TBL_Q_05_PAS_C2_B[Response], MATCH(1, (U8=TBL_Q_05_PAS_C2_B[Index_Ref])*(U9=TBL_Q_05_PAS_C2_B[Ref]),0)), "")</f>
        <v/>
      </c>
      <c r="V7" s="310" t="str">
        <f t="array" ref="V7">IF(INDEX(TBL_Q_05_PAS_C2_B[Response], MATCH(1, (V8=TBL_Q_05_PAS_C2_B[Index_Ref])*(V9=TBL_Q_05_PAS_C2_B[Ref]),0))&lt;&gt;"", INDEX(TBL_Q_05_PAS_C2_B[Response], MATCH(1, (V8=TBL_Q_05_PAS_C2_B[Index_Ref])*(V9=TBL_Q_05_PAS_C2_B[Ref]),0)), "")</f>
        <v/>
      </c>
      <c r="W7" s="310" t="str">
        <f t="array" ref="W7">IF(INDEX(TBL_Q_05_PAS_C2_B[Response], MATCH(1, (W8=TBL_Q_05_PAS_C2_B[Index_Ref])*(W9=TBL_Q_05_PAS_C2_B[Ref]),0))&lt;&gt;"", INDEX(TBL_Q_05_PAS_C2_B[Response], MATCH(1, (W8=TBL_Q_05_PAS_C2_B[Index_Ref])*(W9=TBL_Q_05_PAS_C2_B[Ref]),0)), "")</f>
        <v/>
      </c>
      <c r="X7" s="310" t="str">
        <f t="array" ref="X7">IF(INDEX(TBL_Q_05_PAS_C2_B[Response], MATCH(1, (X8=TBL_Q_05_PAS_C2_B[Index_Ref])*(X9=TBL_Q_05_PAS_C2_B[Ref]),0))&lt;&gt;"", INDEX(TBL_Q_05_PAS_C2_B[Response], MATCH(1, (X8=TBL_Q_05_PAS_C2_B[Index_Ref])*(X9=TBL_Q_05_PAS_C2_B[Ref]),0)), "")</f>
        <v/>
      </c>
    </row>
    <row r="8" spans="1:44" hidden="1">
      <c r="A8" s="309" t="s">
        <v>714</v>
      </c>
      <c r="B8" s="317" t="s">
        <v>778</v>
      </c>
      <c r="C8" s="317" t="s">
        <v>779</v>
      </c>
      <c r="D8" s="317" t="s">
        <v>780</v>
      </c>
      <c r="E8" s="317" t="s">
        <v>781</v>
      </c>
      <c r="F8" s="317" t="s">
        <v>782</v>
      </c>
      <c r="G8" s="317" t="s">
        <v>783</v>
      </c>
      <c r="H8" s="317" t="s">
        <v>784</v>
      </c>
      <c r="I8" s="317" t="s">
        <v>785</v>
      </c>
      <c r="J8" s="317" t="s">
        <v>786</v>
      </c>
      <c r="K8" s="317" t="s">
        <v>787</v>
      </c>
      <c r="L8" s="318" t="s">
        <v>811</v>
      </c>
      <c r="M8" s="318" t="s">
        <v>813</v>
      </c>
      <c r="N8" s="318" t="s">
        <v>815</v>
      </c>
      <c r="O8" s="318" t="s">
        <v>817</v>
      </c>
      <c r="P8" s="318" t="s">
        <v>819</v>
      </c>
      <c r="Q8" s="318" t="s">
        <v>804</v>
      </c>
      <c r="R8" s="318" t="s">
        <v>806</v>
      </c>
      <c r="S8" s="318" t="s">
        <v>808</v>
      </c>
      <c r="T8" s="318" t="s">
        <v>809</v>
      </c>
      <c r="U8" s="318" t="s">
        <v>797</v>
      </c>
      <c r="V8" s="318" t="s">
        <v>799</v>
      </c>
      <c r="W8" s="318" t="s">
        <v>801</v>
      </c>
      <c r="X8" s="318" t="s">
        <v>802</v>
      </c>
    </row>
    <row r="9" spans="1:44" hidden="1">
      <c r="A9" s="309" t="s">
        <v>90</v>
      </c>
      <c r="B9" s="319" t="s">
        <v>750</v>
      </c>
      <c r="C9" s="319" t="s">
        <v>752</v>
      </c>
      <c r="D9" s="319" t="s">
        <v>753</v>
      </c>
      <c r="E9" s="319" t="s">
        <v>754</v>
      </c>
      <c r="F9" s="319" t="s">
        <v>755</v>
      </c>
      <c r="G9" s="193" t="s">
        <v>757</v>
      </c>
      <c r="H9" s="193" t="s">
        <v>758</v>
      </c>
      <c r="I9" s="193" t="s">
        <v>759</v>
      </c>
      <c r="J9" s="193" t="s">
        <v>760</v>
      </c>
      <c r="K9" s="193" t="s">
        <v>761</v>
      </c>
      <c r="L9" s="320" t="s">
        <v>762</v>
      </c>
      <c r="M9" s="320" t="s">
        <v>763</v>
      </c>
      <c r="N9" s="320" t="s">
        <v>764</v>
      </c>
      <c r="O9" s="320" t="s">
        <v>820</v>
      </c>
      <c r="P9" s="320" t="s">
        <v>821</v>
      </c>
      <c r="Q9" s="320" t="s">
        <v>822</v>
      </c>
      <c r="R9" s="320" t="s">
        <v>823</v>
      </c>
      <c r="S9" s="320" t="s">
        <v>824</v>
      </c>
      <c r="T9" s="320" t="s">
        <v>825</v>
      </c>
      <c r="U9" s="320" t="s">
        <v>826</v>
      </c>
      <c r="V9" s="320" t="s">
        <v>827</v>
      </c>
      <c r="W9" s="320" t="s">
        <v>828</v>
      </c>
      <c r="X9" s="320" t="s">
        <v>1336</v>
      </c>
    </row>
    <row r="10" spans="1:44" hidden="1"/>
    <row r="11" spans="1:44" hidden="1">
      <c r="A11" s="307" t="s">
        <v>1550</v>
      </c>
      <c r="B11" s="307" t="s">
        <v>1624</v>
      </c>
      <c r="C11" s="307" t="s">
        <v>1625</v>
      </c>
      <c r="D11" s="307" t="s">
        <v>1626</v>
      </c>
      <c r="E11" s="307" t="s">
        <v>1627</v>
      </c>
      <c r="F11" s="307" t="s">
        <v>1628</v>
      </c>
      <c r="G11" s="307" t="s">
        <v>1629</v>
      </c>
      <c r="H11" s="307" t="s">
        <v>1630</v>
      </c>
      <c r="I11" s="307" t="s">
        <v>1631</v>
      </c>
      <c r="J11" s="307" t="s">
        <v>1632</v>
      </c>
      <c r="K11" s="307" t="s">
        <v>1633</v>
      </c>
      <c r="L11" s="307" t="s">
        <v>1634</v>
      </c>
      <c r="M11" s="307" t="s">
        <v>1635</v>
      </c>
      <c r="N11" s="307" t="s">
        <v>1636</v>
      </c>
      <c r="O11" s="307" t="s">
        <v>1637</v>
      </c>
      <c r="P11" s="307" t="s">
        <v>1638</v>
      </c>
      <c r="Q11" t="s">
        <v>1639</v>
      </c>
      <c r="R11" t="s">
        <v>1640</v>
      </c>
      <c r="S11" t="s">
        <v>1641</v>
      </c>
      <c r="T11" t="s">
        <v>1642</v>
      </c>
      <c r="U11" t="s">
        <v>1643</v>
      </c>
      <c r="V11" t="s">
        <v>1644</v>
      </c>
      <c r="W11" t="s">
        <v>1645</v>
      </c>
      <c r="X11" t="s">
        <v>1646</v>
      </c>
      <c r="Y11" t="s">
        <v>1647</v>
      </c>
      <c r="Z11" t="s">
        <v>1648</v>
      </c>
      <c r="AA11" t="s">
        <v>1649</v>
      </c>
      <c r="AB11" t="s">
        <v>1650</v>
      </c>
      <c r="AC11" t="s">
        <v>1651</v>
      </c>
      <c r="AD11" t="s">
        <v>1652</v>
      </c>
      <c r="AE11" t="s">
        <v>1653</v>
      </c>
      <c r="AF11" t="s">
        <v>1654</v>
      </c>
      <c r="AG11" t="s">
        <v>1655</v>
      </c>
    </row>
    <row r="12" spans="1:44" s="9" customFormat="1" ht="12.5" hidden="1">
      <c r="A12" s="313" t="e">
        <f>#REF!</f>
        <v>#REF!</v>
      </c>
      <c r="B12" s="310" t="str">
        <f>IF('Part 1_Core 3'!$C$10&lt;&gt;"", 'Part 1_Core 3'!$C$10, "")</f>
        <v/>
      </c>
      <c r="C12" s="310" t="str">
        <f t="array" ref="C12">IF(INDEX(TBL_Q_05_PAS_C3_B[Response], MATCH(1, (C13=TBL_Q_05_PAS_C3_B[Index_Ref])*(C14=TBL_Q_05_PAS_C3_B[Ref]),0))&lt;&gt;"", INDEX(TBL_Q_05_PAS_C3_B[Response], MATCH(1, (C13=TBL_Q_05_PAS_C3_B[Index_Ref])*(C14=TBL_Q_05_PAS_C3_B[Ref]),0)), "")</f>
        <v/>
      </c>
      <c r="D12" s="310" t="str">
        <f t="array" ref="D12">IF(INDEX(TBL_Q_05_PAS_C3_B[Response], MATCH(1, (D13=TBL_Q_05_PAS_C3_B[Index_Ref])*(D14=TBL_Q_05_PAS_C3_B[Ref]),0))&lt;&gt;"", INDEX(TBL_Q_05_PAS_C3_B[Response], MATCH(1, (D13=TBL_Q_05_PAS_C3_B[Index_Ref])*(D14=TBL_Q_05_PAS_C3_B[Ref]),0)), "")</f>
        <v/>
      </c>
      <c r="E12" s="310" t="str">
        <f t="array" ref="E12">IF(INDEX(TBL_Q_05_PAS_C3_B[Response], MATCH(1, (E13=TBL_Q_05_PAS_C3_B[Index_Ref])*(E14=TBL_Q_05_PAS_C3_B[Ref]),0))&lt;&gt;"", INDEX(TBL_Q_05_PAS_C3_B[Response], MATCH(1, (E13=TBL_Q_05_PAS_C3_B[Index_Ref])*(E14=TBL_Q_05_PAS_C3_B[Ref]),0)), "")</f>
        <v/>
      </c>
      <c r="F12" s="310" t="str">
        <f t="array" ref="F12">IF(INDEX(TBL_Q_05_PAS_C3_B[Response], MATCH(1, (F13=TBL_Q_05_PAS_C3_B[Index_Ref])*(F14=TBL_Q_05_PAS_C3_B[Ref]),0))&lt;&gt;"", INDEX(TBL_Q_05_PAS_C3_B[Response], MATCH(1, (F13=TBL_Q_05_PAS_C3_B[Index_Ref])*(F14=TBL_Q_05_PAS_C3_B[Ref]),0)), "")</f>
        <v/>
      </c>
      <c r="G12" s="310" t="str">
        <f t="array" ref="G12">IF(INDEX(TBL_Q_05_PAS_C3_B[Response], MATCH(1, (G13=TBL_Q_05_PAS_C3_B[Index_Ref])*(G14=TBL_Q_05_PAS_C3_B[Ref]),0))&lt;&gt;"", INDEX(TBL_Q_05_PAS_C3_B[Response], MATCH(1, (G13=TBL_Q_05_PAS_C3_B[Index_Ref])*(G14=TBL_Q_05_PAS_C3_B[Ref]),0)), "")</f>
        <v/>
      </c>
      <c r="H12" s="310" t="str">
        <f t="array" ref="H12">IF(INDEX(TBL_Q_05_PAS_C3_B[Response], MATCH(1, (H13=TBL_Q_05_PAS_C3_B[Index_Ref])*(H14=TBL_Q_05_PAS_C3_B[Ref]),0))&lt;&gt;"", INDEX(TBL_Q_05_PAS_C3_B[Response], MATCH(1, (H13=TBL_Q_05_PAS_C3_B[Index_Ref])*(H14=TBL_Q_05_PAS_C3_B[Ref]),0)), "")</f>
        <v/>
      </c>
      <c r="I12" s="310" t="str">
        <f t="array" ref="I12">IF(INDEX(TBL_Q_05_PAS_C3_B[Response], MATCH(1, (I13=TBL_Q_05_PAS_C3_B[Index_Ref])*(I14=TBL_Q_05_PAS_C3_B[Ref]),0))&lt;&gt;"", INDEX(TBL_Q_05_PAS_C3_B[Response], MATCH(1, (I13=TBL_Q_05_PAS_C3_B[Index_Ref])*(I14=TBL_Q_05_PAS_C3_B[Ref]),0)), "")</f>
        <v/>
      </c>
      <c r="J12" s="310" t="str">
        <f t="array" ref="J12">IF(INDEX(TBL_Q_05_PAS_C3_B[Response], MATCH(1, (J13=TBL_Q_05_PAS_C3_B[Index_Ref])*(J14=TBL_Q_05_PAS_C3_B[Ref]),0))&lt;&gt;"", INDEX(TBL_Q_05_PAS_C3_B[Response], MATCH(1, (J13=TBL_Q_05_PAS_C3_B[Index_Ref])*(J14=TBL_Q_05_PAS_C3_B[Ref]),0)), "")</f>
        <v/>
      </c>
      <c r="K12" s="310" t="str">
        <f t="array" ref="K12">IF(INDEX(TBL_Q_05_PAS_C3_B[Response], MATCH(1, (K13=TBL_Q_05_PAS_C3_B[Index_Ref])*(K14=TBL_Q_05_PAS_C3_B[Ref]),0))&lt;&gt;"", INDEX(TBL_Q_05_PAS_C3_B[Response], MATCH(1, (K13=TBL_Q_05_PAS_C3_B[Index_Ref])*(K14=TBL_Q_05_PAS_C3_B[Ref]),0)), "")</f>
        <v/>
      </c>
      <c r="L12" s="310" t="str">
        <f t="array" ref="L12">IF(INDEX(TBL_Q_05_PAS_C3_B[Response], MATCH(1, (L13=TBL_Q_05_PAS_C3_B[Index_Ref])*(L14=TBL_Q_05_PAS_C3_B[Ref]),0))&lt;&gt;"", INDEX(TBL_Q_05_PAS_C3_B[Response], MATCH(1, (L13=TBL_Q_05_PAS_C3_B[Index_Ref])*(L14=TBL_Q_05_PAS_C3_B[Ref]),0)), "")</f>
        <v/>
      </c>
      <c r="M12" s="310" t="str">
        <f t="array" ref="M12">IF(INDEX(TBL_Q_05_PAS_C3_C[Response], MATCH(1, (M13=TBL_Q_05_PAS_C3_C[Index_Ref])*(M14=TBL_Q_05_PAS_C3_C[Ref]),0))&lt;&gt;"", INDEX(TBL_Q_05_PAS_C3_C[Response], MATCH(1, (M13=TBL_Q_05_PAS_C3_C[Index_Ref])*(M14=TBL_Q_05_PAS_C3_C[Ref]),0)), "")</f>
        <v/>
      </c>
      <c r="N12" s="310" t="str">
        <f t="array" ref="N12">IF(INDEX(TBL_Q_05_PAS_C3_C[Response], MATCH(1, (N13=TBL_Q_05_PAS_C3_C[Index_Ref])*(N14=TBL_Q_05_PAS_C3_C[Ref]),0))&lt;&gt;"", INDEX(TBL_Q_05_PAS_C3_C[Response], MATCH(1, (N13=TBL_Q_05_PAS_C3_C[Index_Ref])*(N14=TBL_Q_05_PAS_C3_C[Ref]),0)), "")</f>
        <v/>
      </c>
      <c r="O12" s="310" t="str">
        <f t="array" ref="O12">IF(INDEX(TBL_Q_05_PAS_C3_C[Response], MATCH(1, (O13=TBL_Q_05_PAS_C3_C[Index_Ref])*(O14=TBL_Q_05_PAS_C3_C[Ref]),0))&lt;&gt;"", INDEX(TBL_Q_05_PAS_C3_C[Response], MATCH(1, (O13=TBL_Q_05_PAS_C3_C[Index_Ref])*(O14=TBL_Q_05_PAS_C3_C[Ref]),0)), "")</f>
        <v/>
      </c>
      <c r="P12" s="310" t="str">
        <f t="array" ref="P12">IF(INDEX(TBL_Q_05_PAS_C3_C[Response], MATCH(1, (P13=TBL_Q_05_PAS_C3_C[Index_Ref])*(P14=TBL_Q_05_PAS_C3_C[Ref]),0))&lt;&gt;"", INDEX(TBL_Q_05_PAS_C3_C[Response], MATCH(1, (P13=TBL_Q_05_PAS_C3_C[Index_Ref])*(P14=TBL_Q_05_PAS_C3_C[Ref]),0)), "")</f>
        <v/>
      </c>
      <c r="Q12" s="310" t="str">
        <f t="array" ref="Q12">IF(INDEX(TBL_Q_05_PAS_C3_C[Response], MATCH(1, (Q13=TBL_Q_05_PAS_C3_C[Index_Ref])*(Q14=TBL_Q_05_PAS_C3_C[Ref]),0))&lt;&gt;"", INDEX(TBL_Q_05_PAS_C3_C[Response], MATCH(1, (Q13=TBL_Q_05_PAS_C3_C[Index_Ref])*(Q14=TBL_Q_05_PAS_C3_C[Ref]),0)), "")</f>
        <v/>
      </c>
      <c r="R12" s="310" t="str">
        <f t="array" ref="R12">IF(INDEX(TBL_Q_05_PAS_C3_C[Response], MATCH(1, (R13=TBL_Q_05_PAS_C3_C[Index_Ref])*(R14=TBL_Q_05_PAS_C3_C[Ref]),0))&lt;&gt;"", INDEX(TBL_Q_05_PAS_C3_C[Response], MATCH(1, (R13=TBL_Q_05_PAS_C3_C[Index_Ref])*(R14=TBL_Q_05_PAS_C3_C[Ref]),0)), "")</f>
        <v/>
      </c>
      <c r="S12" s="310" t="str">
        <f t="array" ref="S12">IF(INDEX(TBL_Q_05_PAS_C3_C[Response], MATCH(1, (S13=TBL_Q_05_PAS_C3_C[Index_Ref])*(S14=TBL_Q_05_PAS_C3_C[Ref]),0))&lt;&gt;"", INDEX(TBL_Q_05_PAS_C3_C[Response], MATCH(1, (S13=TBL_Q_05_PAS_C3_C[Index_Ref])*(S14=TBL_Q_05_PAS_C3_C[Ref]),0)), "")</f>
        <v/>
      </c>
      <c r="T12" s="310" t="str">
        <f t="array" ref="T12">IF(INDEX(TBL_Q_05_PAS_C3_D[Response], MATCH(1, (T13=TBL_Q_05_PAS_C3_D[Index_Ref])*(T14=TBL_Q_05_PAS_C3_D[Ref]),0))&lt;&gt;"", INDEX(TBL_Q_05_PAS_C3_D[Response], MATCH(1, (T13=TBL_Q_05_PAS_C3_D[Index_Ref])*(T14=TBL_Q_05_PAS_C3_D[Ref]),0)), "")</f>
        <v/>
      </c>
      <c r="U12" s="310" t="str">
        <f t="array" ref="U12">IF(INDEX(TBL_Q_05_PAS_C3_D[Response], MATCH(1, (U13=TBL_Q_05_PAS_C3_D[Index_Ref])*(U14=TBL_Q_05_PAS_C3_D[Ref]),0))&lt;&gt;"", INDEX(TBL_Q_05_PAS_C3_D[Response], MATCH(1, (U13=TBL_Q_05_PAS_C3_D[Index_Ref])*(U14=TBL_Q_05_PAS_C3_D[Ref]),0)), "")</f>
        <v/>
      </c>
      <c r="V12" s="310" t="str">
        <f t="array" ref="V12">IF(INDEX(TBL_Q_05_PAS_C3_D[Response], MATCH(1, (V13=TBL_Q_05_PAS_C3_D[Index_Ref])*(V14=TBL_Q_05_PAS_C3_D[Ref]),0))&lt;&gt;"", INDEX(TBL_Q_05_PAS_C3_D[Response], MATCH(1, (V13=TBL_Q_05_PAS_C3_D[Index_Ref])*(V14=TBL_Q_05_PAS_C3_D[Ref]),0)), "")</f>
        <v/>
      </c>
      <c r="W12" s="310" t="str">
        <f t="array" ref="W12">IF(INDEX(TBL_Q_05_PAS_C3_D[Response], MATCH(1, (W13=TBL_Q_05_PAS_C3_D[Index_Ref])*(W14=TBL_Q_05_PAS_C3_D[Ref]),0))&lt;&gt;"", INDEX(TBL_Q_05_PAS_C3_D[Response], MATCH(1, (W13=TBL_Q_05_PAS_C3_D[Index_Ref])*(W14=TBL_Q_05_PAS_C3_D[Ref]),0)), "")</f>
        <v/>
      </c>
      <c r="X12" s="310" t="str">
        <f t="array" ref="X12">IF(INDEX(TBL_Q_05_PAS_C3_D[Response], MATCH(1, (X13=TBL_Q_05_PAS_C3_D[Index_Ref])*(X14=TBL_Q_05_PAS_C3_D[Ref]),0))&lt;&gt;"", INDEX(TBL_Q_05_PAS_C3_D[Response], MATCH(1, (X13=TBL_Q_05_PAS_C3_D[Index_Ref])*(X14=TBL_Q_05_PAS_C3_D[Ref]),0)), "")</f>
        <v/>
      </c>
      <c r="Y12" s="310" t="str">
        <f t="array" ref="Y12">IF(INDEX(TBL_Q_05_PAS_C3_D[Response], MATCH(1, (Y13=TBL_Q_05_PAS_C3_D[Index_Ref])*(Y14=TBL_Q_05_PAS_C3_D[Ref]),0))&lt;&gt;"", INDEX(TBL_Q_05_PAS_C3_D[Response], MATCH(1, (Y13=TBL_Q_05_PAS_C3_D[Index_Ref])*(Y14=TBL_Q_05_PAS_C3_D[Ref]),0)), "")</f>
        <v/>
      </c>
      <c r="Z12" s="310" t="str">
        <f t="array" ref="Z12">IF(INDEX(TBL_Q_05_PAS_C3_D[Response], MATCH(1, (Z13=TBL_Q_05_PAS_C3_D[Index_Ref])*(Z14=TBL_Q_05_PAS_C3_D[Ref]),0))&lt;&gt;"", INDEX(TBL_Q_05_PAS_C3_D[Response], MATCH(1, (Z13=TBL_Q_05_PAS_C3_D[Index_Ref])*(Z14=TBL_Q_05_PAS_C3_D[Ref]),0)), "")</f>
        <v/>
      </c>
      <c r="AA12" s="310" t="str">
        <f t="array" ref="AA12">IF(INDEX(TBL_Q_05_PAS_C3_D[Response], MATCH(1, (AA13=TBL_Q_05_PAS_C3_D[Index_Ref])*(AA14=TBL_Q_05_PAS_C3_D[Ref]),0))&lt;&gt;"", INDEX(TBL_Q_05_PAS_C3_D[Response], MATCH(1, (AA13=TBL_Q_05_PAS_C3_D[Index_Ref])*(AA14=TBL_Q_05_PAS_C3_D[Ref]),0)), "")</f>
        <v/>
      </c>
      <c r="AB12" s="310" t="str">
        <f t="array" ref="AB12">IF(INDEX(TBL_Q_05_PAS_C3_D[Response], MATCH(1, (AB13=TBL_Q_05_PAS_C3_D[Index_Ref])*(AB14=TBL_Q_05_PAS_C3_D[Ref]),0))&lt;&gt;"", INDEX(TBL_Q_05_PAS_C3_D[Response], MATCH(1, (AB13=TBL_Q_05_PAS_C3_D[Index_Ref])*(AB14=TBL_Q_05_PAS_C3_D[Ref]),0)), "")</f>
        <v/>
      </c>
      <c r="AC12" s="310" t="str">
        <f t="array" ref="AC12">IF(INDEX(TBL_Q_05_PAS_C3_D[Response], MATCH(1, (AC13=TBL_Q_05_PAS_C3_D[Index_Ref])*(AC14=TBL_Q_05_PAS_C3_D[Ref]),0))&lt;&gt;"", INDEX(TBL_Q_05_PAS_C3_D[Response], MATCH(1, (AC13=TBL_Q_05_PAS_C3_D[Index_Ref])*(AC14=TBL_Q_05_PAS_C3_D[Ref]),0)), "")</f>
        <v/>
      </c>
      <c r="AD12" s="310" t="str">
        <f t="array" ref="AD12">IF(INDEX(TBL_Q_05_PAS_C3_D[Response], MATCH(1, (AD13=TBL_Q_05_PAS_C3_D[Index_Ref])*(AD14=TBL_Q_05_PAS_C3_D[Ref]),0))&lt;&gt;"", INDEX(TBL_Q_05_PAS_C3_D[Response], MATCH(1, (AD13=TBL_Q_05_PAS_C3_D[Index_Ref])*(AD14=TBL_Q_05_PAS_C3_D[Ref]),0)), "")</f>
        <v/>
      </c>
      <c r="AE12" s="310" t="str">
        <f t="array" ref="AE12">IF(INDEX(TBL_Q_05_PAS_C3_D[Response], MATCH(1, (AE13=TBL_Q_05_PAS_C3_D[Index_Ref])*(AE14=TBL_Q_05_PAS_C3_D[Ref]),0))&lt;&gt;"", INDEX(TBL_Q_05_PAS_C3_D[Response], MATCH(1, (AE13=TBL_Q_05_PAS_C3_D[Index_Ref])*(AE14=TBL_Q_05_PAS_C3_D[Ref]),0)), "")</f>
        <v/>
      </c>
      <c r="AF12" s="310" t="str">
        <f t="array" ref="AF12">IF(INDEX(TBL_Q_05_PAS_C3_D[Response], MATCH(1, (AF13=TBL_Q_05_PAS_C3_D[Index_Ref])*(AF14=TBL_Q_05_PAS_C3_D[Ref]),0))&lt;&gt;"", INDEX(TBL_Q_05_PAS_C3_D[Response], MATCH(1, (AF13=TBL_Q_05_PAS_C3_D[Index_Ref])*(AF14=TBL_Q_05_PAS_C3_D[Ref]),0)), "")</f>
        <v/>
      </c>
      <c r="AG12" s="310" t="str">
        <f t="array" ref="AG12">IF(INDEX(TBL_Q_05_PAS_C3_D[Response], MATCH(1, (AG13=TBL_Q_05_PAS_C3_D[Index_Ref])*(AG14=TBL_Q_05_PAS_C3_D[Ref]),0))&lt;&gt;"", INDEX(TBL_Q_05_PAS_C3_D[Response], MATCH(1, (AG13=TBL_Q_05_PAS_C3_D[Index_Ref])*(AG14=TBL_Q_05_PAS_C3_D[Ref]),0)), "")</f>
        <v/>
      </c>
    </row>
    <row r="13" spans="1:44" hidden="1">
      <c r="A13" s="311" t="s">
        <v>714</v>
      </c>
      <c r="B13" s="298" t="s">
        <v>1342</v>
      </c>
      <c r="C13" s="317" t="s">
        <v>1114</v>
      </c>
      <c r="D13" s="317" t="s">
        <v>1115</v>
      </c>
      <c r="E13" s="317" t="s">
        <v>1116</v>
      </c>
      <c r="F13" s="317" t="s">
        <v>1117</v>
      </c>
      <c r="G13" s="317" t="s">
        <v>1118</v>
      </c>
      <c r="H13" s="317" t="s">
        <v>1119</v>
      </c>
      <c r="I13" s="317" t="s">
        <v>1120</v>
      </c>
      <c r="J13" s="317" t="s">
        <v>1121</v>
      </c>
      <c r="K13" s="317" t="s">
        <v>1122</v>
      </c>
      <c r="L13" s="317" t="s">
        <v>1123</v>
      </c>
      <c r="M13" s="317" t="s">
        <v>1147</v>
      </c>
      <c r="N13" s="317" t="s">
        <v>1148</v>
      </c>
      <c r="O13" s="317" t="s">
        <v>1149</v>
      </c>
      <c r="P13" s="317" t="s">
        <v>1154</v>
      </c>
      <c r="Q13" s="326" t="s">
        <v>1155</v>
      </c>
      <c r="R13" s="326" t="s">
        <v>1156</v>
      </c>
      <c r="S13" s="326" t="s">
        <v>1150</v>
      </c>
      <c r="T13" s="326" t="s">
        <v>1161</v>
      </c>
      <c r="U13" s="326" t="s">
        <v>1162</v>
      </c>
      <c r="V13" s="326" t="s">
        <v>1163</v>
      </c>
      <c r="W13" s="326" t="s">
        <v>1164</v>
      </c>
      <c r="X13" s="326" t="s">
        <v>1169</v>
      </c>
      <c r="Y13" s="326" t="s">
        <v>1170</v>
      </c>
      <c r="Z13" s="326" t="s">
        <v>1171</v>
      </c>
      <c r="AA13" s="326" t="s">
        <v>1181</v>
      </c>
      <c r="AB13" s="326" t="s">
        <v>1181</v>
      </c>
      <c r="AC13" s="326" t="s">
        <v>1181</v>
      </c>
      <c r="AD13" s="326" t="s">
        <v>1181</v>
      </c>
      <c r="AE13" s="326" t="s">
        <v>1181</v>
      </c>
      <c r="AF13" s="326" t="s">
        <v>1181</v>
      </c>
      <c r="AG13" s="327" t="s">
        <v>1193</v>
      </c>
    </row>
    <row r="14" spans="1:44" hidden="1">
      <c r="A14" s="311" t="s">
        <v>90</v>
      </c>
      <c r="B14" s="193" t="s">
        <v>837</v>
      </c>
      <c r="C14" s="319" t="s">
        <v>838</v>
      </c>
      <c r="D14" s="319" t="s">
        <v>839</v>
      </c>
      <c r="E14" s="319" t="s">
        <v>840</v>
      </c>
      <c r="F14" s="319" t="s">
        <v>841</v>
      </c>
      <c r="G14" s="319" t="s">
        <v>1105</v>
      </c>
      <c r="H14" s="319" t="s">
        <v>1106</v>
      </c>
      <c r="I14" s="319" t="s">
        <v>1107</v>
      </c>
      <c r="J14" s="319" t="s">
        <v>1108</v>
      </c>
      <c r="K14" s="319" t="s">
        <v>1109</v>
      </c>
      <c r="L14" s="319" t="s">
        <v>1110</v>
      </c>
      <c r="M14" s="319" t="s">
        <v>1111</v>
      </c>
      <c r="N14" s="319" t="s">
        <v>1112</v>
      </c>
      <c r="O14" s="319" t="s">
        <v>1113</v>
      </c>
      <c r="P14" s="319" t="s">
        <v>1137</v>
      </c>
      <c r="Q14" s="326" t="s">
        <v>1138</v>
      </c>
      <c r="R14" s="326" t="s">
        <v>1139</v>
      </c>
      <c r="S14" s="326" t="s">
        <v>1140</v>
      </c>
      <c r="T14" s="326" t="s">
        <v>1141</v>
      </c>
      <c r="U14" s="326" t="s">
        <v>1142</v>
      </c>
      <c r="V14" s="326" t="s">
        <v>1143</v>
      </c>
      <c r="W14" s="326" t="s">
        <v>1144</v>
      </c>
      <c r="X14" s="326" t="s">
        <v>1145</v>
      </c>
      <c r="Y14" s="326" t="s">
        <v>1146</v>
      </c>
      <c r="Z14" s="326" t="s">
        <v>1165</v>
      </c>
      <c r="AA14" s="326" t="s">
        <v>1166</v>
      </c>
      <c r="AB14" s="326" t="s">
        <v>1167</v>
      </c>
      <c r="AC14" s="326" t="s">
        <v>1168</v>
      </c>
      <c r="AD14" s="326" t="s">
        <v>1176</v>
      </c>
      <c r="AE14" s="326" t="s">
        <v>1177</v>
      </c>
      <c r="AF14" s="326" t="s">
        <v>1178</v>
      </c>
      <c r="AG14" s="326" t="s">
        <v>1179</v>
      </c>
    </row>
    <row r="15" spans="1:44" hidden="1"/>
    <row r="16" spans="1:44" hidden="1">
      <c r="A16" s="307" t="s">
        <v>1553</v>
      </c>
      <c r="B16" s="307" t="s">
        <v>1656</v>
      </c>
      <c r="C16" s="307" t="s">
        <v>1657</v>
      </c>
      <c r="D16" s="307" t="s">
        <v>1658</v>
      </c>
      <c r="E16" s="307" t="s">
        <v>1659</v>
      </c>
      <c r="F16" s="307" t="s">
        <v>1660</v>
      </c>
      <c r="G16" s="307" t="s">
        <v>1661</v>
      </c>
      <c r="H16" s="307" t="s">
        <v>1662</v>
      </c>
      <c r="I16" s="307" t="s">
        <v>1663</v>
      </c>
      <c r="J16" s="307" t="s">
        <v>1664</v>
      </c>
      <c r="K16" s="307" t="s">
        <v>1665</v>
      </c>
      <c r="L16" s="307" t="s">
        <v>1666</v>
      </c>
      <c r="M16" s="307" t="s">
        <v>1667</v>
      </c>
      <c r="N16" s="307" t="s">
        <v>1668</v>
      </c>
      <c r="O16" s="307" t="s">
        <v>1669</v>
      </c>
      <c r="P16" t="s">
        <v>1670</v>
      </c>
      <c r="Q16" t="s">
        <v>1671</v>
      </c>
      <c r="R16" t="s">
        <v>1672</v>
      </c>
      <c r="S16" t="s">
        <v>1673</v>
      </c>
      <c r="T16" t="s">
        <v>1674</v>
      </c>
      <c r="U16" t="s">
        <v>1675</v>
      </c>
      <c r="V16" t="s">
        <v>1676</v>
      </c>
      <c r="W16" t="s">
        <v>1677</v>
      </c>
      <c r="X16" t="s">
        <v>1678</v>
      </c>
      <c r="Y16" t="s">
        <v>1679</v>
      </c>
      <c r="Z16" t="s">
        <v>1680</v>
      </c>
      <c r="AA16" t="s">
        <v>1681</v>
      </c>
      <c r="AB16" t="s">
        <v>1682</v>
      </c>
      <c r="AC16" t="s">
        <v>1683</v>
      </c>
      <c r="AD16" t="s">
        <v>1684</v>
      </c>
      <c r="AE16" t="s">
        <v>1685</v>
      </c>
      <c r="AF16" t="s">
        <v>1686</v>
      </c>
      <c r="AG16" t="s">
        <v>1687</v>
      </c>
      <c r="AH16" t="s">
        <v>1688</v>
      </c>
    </row>
    <row r="17" spans="1:40" s="9" customFormat="1" ht="12.5" hidden="1">
      <c r="A17" s="313" t="e">
        <f>#REF!</f>
        <v>#REF!</v>
      </c>
      <c r="B17" s="310" t="str">
        <f>IF('Part 1_Core 3_D&amp;S'!$C$10&lt;&gt;"", 'Part 1_Core 3_D&amp;S'!$C$10, "")</f>
        <v/>
      </c>
      <c r="C17" s="310" t="str">
        <f t="array" ref="C17">IF(INDEX(TBL_Q_05_PAS_C3_F[Response], MATCH(1, (C18=TBL_Q_05_PAS_C3_F[Index_Ref])*(C19=TBL_Q_05_PAS_C3_F[Ref]),0))&lt;&gt;"", INDEX(TBL_Q_05_PAS_C3_F[Response], MATCH(1, (C18=TBL_Q_05_PAS_C3_F[Index_Ref])*(C19=TBL_Q_05_PAS_C3_F[Ref]),0)), "")</f>
        <v/>
      </c>
      <c r="D17" s="310" t="str">
        <f t="array" ref="D17">IF(INDEX(TBL_Q_05_PAS_C3_F[Response], MATCH(1, (D18=TBL_Q_05_PAS_C3_F[Index_Ref])*(D19=TBL_Q_05_PAS_C3_F[Ref]),0))&lt;&gt;"", INDEX(TBL_Q_05_PAS_C3_F[Response], MATCH(1, (D18=TBL_Q_05_PAS_C3_F[Index_Ref])*(D19=TBL_Q_05_PAS_C3_F[Ref]),0)), "")</f>
        <v/>
      </c>
      <c r="E17" s="310" t="str">
        <f t="array" ref="E17">IF(INDEX(TBL_Q_05_PAS_C3_F[Response], MATCH(1, (E18=TBL_Q_05_PAS_C3_F[Index_Ref])*(E19=TBL_Q_05_PAS_C3_F[Ref]),0))&lt;&gt;"", INDEX(TBL_Q_05_PAS_C3_F[Response], MATCH(1, (E18=TBL_Q_05_PAS_C3_F[Index_Ref])*(E19=TBL_Q_05_PAS_C3_F[Ref]),0)), "")</f>
        <v/>
      </c>
      <c r="F17" s="310" t="str">
        <f t="array" ref="F17">IF(INDEX(TBL_Q_05_PAS_C3_F[Response], MATCH(1, (F18=TBL_Q_05_PAS_C3_F[Index_Ref])*(F19=TBL_Q_05_PAS_C3_F[Ref]),0))&lt;&gt;"", INDEX(TBL_Q_05_PAS_C3_F[Response], MATCH(1, (F18=TBL_Q_05_PAS_C3_F[Index_Ref])*(F19=TBL_Q_05_PAS_C3_F[Ref]),0)), "")</f>
        <v/>
      </c>
      <c r="G17" s="310" t="str">
        <f t="array" ref="G17">IF(INDEX(TBL_Q_05_PAS_C3_F[Response], MATCH(1, (G18=TBL_Q_05_PAS_C3_F[Index_Ref])*(G19=TBL_Q_05_PAS_C3_F[Ref]),0))&lt;&gt;"", INDEX(TBL_Q_05_PAS_C3_F[Response], MATCH(1, (G18=TBL_Q_05_PAS_C3_F[Index_Ref])*(G19=TBL_Q_05_PAS_C3_F[Ref]),0)), "")</f>
        <v/>
      </c>
      <c r="H17" s="310" t="str">
        <f t="array" ref="H17">IF(INDEX(TBL_Q_05_PAS_C3_F[Response], MATCH(1, (H18=TBL_Q_05_PAS_C3_F[Index_Ref])*(H19=TBL_Q_05_PAS_C3_F[Ref]),0))&lt;&gt;"", INDEX(TBL_Q_05_PAS_C3_F[Response], MATCH(1, (H18=TBL_Q_05_PAS_C3_F[Index_Ref])*(H19=TBL_Q_05_PAS_C3_F[Ref]),0)), "")</f>
        <v/>
      </c>
      <c r="I17" s="310" t="str">
        <f t="array" ref="I17">IF(INDEX(TBL_Q_05_PAS_C3_F[Response], MATCH(1, (I18=TBL_Q_05_PAS_C3_F[Index_Ref])*(I19=TBL_Q_05_PAS_C3_F[Ref]),0))&lt;&gt;"", INDEX(TBL_Q_05_PAS_C3_F[Response], MATCH(1, (I18=TBL_Q_05_PAS_C3_F[Index_Ref])*(I19=TBL_Q_05_PAS_C3_F[Ref]),0)), "")</f>
        <v/>
      </c>
      <c r="J17" s="310" t="str">
        <f t="array" ref="J17">IF(INDEX(TBL_Q_05_PAS_C3_F[Response], MATCH(1, (J18=TBL_Q_05_PAS_C3_F[Index_Ref])*(J19=TBL_Q_05_PAS_C3_F[Ref]),0))&lt;&gt;"", INDEX(TBL_Q_05_PAS_C3_F[Response], MATCH(1, (J18=TBL_Q_05_PAS_C3_F[Index_Ref])*(J19=TBL_Q_05_PAS_C3_F[Ref]),0)), "")</f>
        <v/>
      </c>
      <c r="K17" s="310" t="str">
        <f t="array" ref="K17">IF(INDEX(TBL_Q_05_PAS_C3_F[Response], MATCH(1, (K18=TBL_Q_05_PAS_C3_F[Index_Ref])*(K19=TBL_Q_05_PAS_C3_F[Ref]),0))&lt;&gt;"", INDEX(TBL_Q_05_PAS_C3_F[Response], MATCH(1, (K18=TBL_Q_05_PAS_C3_F[Index_Ref])*(K19=TBL_Q_05_PAS_C3_F[Ref]),0)), "")</f>
        <v/>
      </c>
      <c r="L17" s="310" t="str">
        <f t="array" ref="L17">IF(INDEX(TBL_Q_05_PAS_C3_F[Response], MATCH(1, (L18=TBL_Q_05_PAS_C3_F[Index_Ref])*(L19=TBL_Q_05_PAS_C3_F[Ref]),0))&lt;&gt;"", INDEX(TBL_Q_05_PAS_C3_F[Response], MATCH(1, (L18=TBL_Q_05_PAS_C3_F[Index_Ref])*(L19=TBL_Q_05_PAS_C3_F[Ref]),0)), "")</f>
        <v/>
      </c>
      <c r="M17" s="310" t="str">
        <f t="array" ref="M17">IF(INDEX(TBL_Q_05_PAS_C3_F[Response], MATCH(1, (M18=TBL_Q_05_PAS_C3_F[Index_Ref])*(M19=TBL_Q_05_PAS_C3_F[Ref]),0))&lt;&gt;"", INDEX(TBL_Q_05_PAS_C3_F[Response], MATCH(1, (M18=TBL_Q_05_PAS_C3_F[Index_Ref])*(M19=TBL_Q_05_PAS_C3_F[Ref]),0)), "")</f>
        <v/>
      </c>
      <c r="N17" s="310" t="str">
        <f t="array" ref="N17">IF(INDEX(TBL_Q_05_PAS_C3_F[Response], MATCH(1, (N18=TBL_Q_05_PAS_C3_F[Index_Ref])*(N19=TBL_Q_05_PAS_C3_F[Ref]),0))&lt;&gt;"", INDEX(TBL_Q_05_PAS_C3_F[Response], MATCH(1, (N18=TBL_Q_05_PAS_C3_F[Index_Ref])*(N19=TBL_Q_05_PAS_C3_F[Ref]),0)), "")</f>
        <v/>
      </c>
      <c r="O17" s="310" t="str">
        <f t="array" ref="O17">IF(INDEX(TBL_Q_05_PAS_C3_F[Response], MATCH(1, (O18=TBL_Q_05_PAS_C3_F[Index_Ref])*(O19=TBL_Q_05_PAS_C3_F[Ref]),0))&lt;&gt;"", INDEX(TBL_Q_05_PAS_C3_F[Response], MATCH(1, (O18=TBL_Q_05_PAS_C3_F[Index_Ref])*(O19=TBL_Q_05_PAS_C3_F[Ref]),0)), "")</f>
        <v/>
      </c>
      <c r="P17" s="310" t="str">
        <f t="array" ref="P17">IF(INDEX(TBL_Q_05_PAS_C3_F[Response], MATCH(1, (P18=TBL_Q_05_PAS_C3_F[Index_Ref])*(P19=TBL_Q_05_PAS_C3_F[Ref]),0))&lt;&gt;"", INDEX(TBL_Q_05_PAS_C3_F[Response], MATCH(1, (P18=TBL_Q_05_PAS_C3_F[Index_Ref])*(P19=TBL_Q_05_PAS_C3_F[Ref]),0)), "")</f>
        <v/>
      </c>
      <c r="Q17" s="310" t="str">
        <f t="array" ref="Q17">IF(INDEX(TBL_Q_05_PAS_C3_F[Response], MATCH(1, (Q18=TBL_Q_05_PAS_C3_F[Index_Ref])*(Q19=TBL_Q_05_PAS_C3_F[Ref]),0))&lt;&gt;"", INDEX(TBL_Q_05_PAS_C3_F[Response], MATCH(1, (Q18=TBL_Q_05_PAS_C3_F[Index_Ref])*(Q19=TBL_Q_05_PAS_C3_F[Ref]),0)), "")</f>
        <v/>
      </c>
      <c r="R17" s="310" t="str">
        <f t="array" ref="R17">IF(INDEX(TBL_Q_05_PAS_C3_F[Response], MATCH(1, (R18=TBL_Q_05_PAS_C3_F[Index_Ref])*(R19=TBL_Q_05_PAS_C3_F[Ref]),0))&lt;&gt;"", INDEX(TBL_Q_05_PAS_C3_F[Response], MATCH(1, (R18=TBL_Q_05_PAS_C3_F[Index_Ref])*(R19=TBL_Q_05_PAS_C3_F[Ref]),0)), "")</f>
        <v/>
      </c>
      <c r="S17" s="310" t="str">
        <f t="array" ref="S17">IF(INDEX(TBL_Q_05_PAS_C3_F[Response], MATCH(1, (S18=TBL_Q_05_PAS_C3_F[Index_Ref])*(S19=TBL_Q_05_PAS_C3_F[Ref]),0))&lt;&gt;"", INDEX(TBL_Q_05_PAS_C3_F[Response], MATCH(1, (S18=TBL_Q_05_PAS_C3_F[Index_Ref])*(S19=TBL_Q_05_PAS_C3_F[Ref]),0)), "")</f>
        <v/>
      </c>
      <c r="T17" s="310" t="str">
        <f t="array" ref="T17">IF(INDEX(TBL_Q_05_PAS_C3_F[Response], MATCH(1, (T18=TBL_Q_05_PAS_C3_F[Index_Ref])*(T19=TBL_Q_05_PAS_C3_F[Ref]),0))&lt;&gt;"", INDEX(TBL_Q_05_PAS_C3_F[Response], MATCH(1, (T18=TBL_Q_05_PAS_C3_F[Index_Ref])*(T19=TBL_Q_05_PAS_C3_F[Ref]),0)), "")</f>
        <v/>
      </c>
      <c r="U17" s="310" t="str">
        <f t="array" ref="U17">IF(INDEX(TBL_Q_05_PAS_C3_F[Response], MATCH(1, (U18=TBL_Q_05_PAS_C3_F[Index_Ref])*(U19=TBL_Q_05_PAS_C3_F[Ref]),0))&lt;&gt;"", INDEX(TBL_Q_05_PAS_C3_F[Response], MATCH(1, (U18=TBL_Q_05_PAS_C3_F[Index_Ref])*(U19=TBL_Q_05_PAS_C3_F[Ref]),0)), "")</f>
        <v/>
      </c>
      <c r="V17" s="310" t="str">
        <f t="array" ref="V17">IF(INDEX(TBL_Q_05_PAS_C3_F[Response], MATCH(1, (V18=TBL_Q_05_PAS_C3_F[Index_Ref])*(V19=TBL_Q_05_PAS_C3_F[Ref]),0))&lt;&gt;"", INDEX(TBL_Q_05_PAS_C3_F[Response], MATCH(1, (V18=TBL_Q_05_PAS_C3_F[Index_Ref])*(V19=TBL_Q_05_PAS_C3_F[Ref]),0)), "")</f>
        <v/>
      </c>
      <c r="W17" s="310" t="str">
        <f t="array" ref="W17">IF(INDEX(TBL_Q_05_PAS_C3_F[Response], MATCH(1, (W18=TBL_Q_05_PAS_C3_F[Index_Ref])*(W19=TBL_Q_05_PAS_C3_F[Ref]),0))&lt;&gt;"", INDEX(TBL_Q_05_PAS_C3_F[Response], MATCH(1, (W18=TBL_Q_05_PAS_C3_F[Index_Ref])*(W19=TBL_Q_05_PAS_C3_F[Ref]),0)), "")</f>
        <v/>
      </c>
      <c r="X17" s="310" t="str">
        <f t="array" ref="X17">IF(INDEX(TBL_Q_05_PAS_C3_F[Response], MATCH(1, (X18=TBL_Q_05_PAS_C3_F[Index_Ref])*(X19=TBL_Q_05_PAS_C3_F[Ref]),0))&lt;&gt;"", INDEX(TBL_Q_05_PAS_C3_F[Response], MATCH(1, (X18=TBL_Q_05_PAS_C3_F[Index_Ref])*(X19=TBL_Q_05_PAS_C3_F[Ref]),0)), "")</f>
        <v/>
      </c>
      <c r="Y17" s="310" t="str">
        <f t="array" ref="Y17">IF(INDEX(TBL_Q_05_PAS_C3_F[Response], MATCH(1, (Y18=TBL_Q_05_PAS_C3_F[Index_Ref])*(Y19=TBL_Q_05_PAS_C3_F[Ref]),0))&lt;&gt;"", INDEX(TBL_Q_05_PAS_C3_F[Response], MATCH(1, (Y18=TBL_Q_05_PAS_C3_F[Index_Ref])*(Y19=TBL_Q_05_PAS_C3_F[Ref]),0)), "")</f>
        <v/>
      </c>
      <c r="Z17" s="310" t="str">
        <f>IF('Part 1_Core 3_D&amp;S'!$C$44&lt;&gt;"", 'Part 1_Core 3_D&amp;S'!$C$44, "")</f>
        <v/>
      </c>
      <c r="AA17" s="310" t="str">
        <f t="array" ref="AA17">IF(INDEX(TBL_Q_05_PAS_C3_H[Response], MATCH(1, (AA18=TBL_Q_05_PAS_C3_H[Index_Ref])*(AA19=TBL_Q_05_PAS_C3_H[Ref]),0))&lt;&gt;"", INDEX(TBL_Q_05_PAS_C3_H[Response], MATCH(1, (AA18=TBL_Q_05_PAS_C3_H[Index_Ref])*(AA19=TBL_Q_05_PAS_C3_H[Ref]),0)), "")</f>
        <v/>
      </c>
      <c r="AB17" s="310" t="str">
        <f t="array" ref="AB17">IF(INDEX(TBL_Q_05_PAS_C3_H[Response], MATCH(1, (AB18=TBL_Q_05_PAS_C3_H[Index_Ref])*(AB19=TBL_Q_05_PAS_C3_H[Ref]),0))&lt;&gt;"", INDEX(TBL_Q_05_PAS_C3_H[Response], MATCH(1, (AB18=TBL_Q_05_PAS_C3_H[Index_Ref])*(AB19=TBL_Q_05_PAS_C3_H[Ref]),0)), "")</f>
        <v/>
      </c>
      <c r="AC17" s="310" t="str">
        <f t="array" ref="AC17">IF(INDEX(TBL_Q_05_PAS_C3_H[Response], MATCH(1, (AC18=TBL_Q_05_PAS_C3_H[Index_Ref])*(AC19=TBL_Q_05_PAS_C3_H[Ref]),0))&lt;&gt;"", INDEX(TBL_Q_05_PAS_C3_H[Response], MATCH(1, (AC18=TBL_Q_05_PAS_C3_H[Index_Ref])*(AC19=TBL_Q_05_PAS_C3_H[Ref]),0)), "")</f>
        <v/>
      </c>
      <c r="AD17" s="310" t="str">
        <f t="array" ref="AD17">IF(INDEX(TBL_Q_05_PAS_C3_I[Response], MATCH(1, (AD18=TBL_Q_05_PAS_C3_I[Index_Ref])*(AD19=TBL_Q_05_PAS_C3_I[Ref]),0))&lt;&gt;"", INDEX(TBL_Q_05_PAS_C3_I[Response], MATCH(1, (AD18=TBL_Q_05_PAS_C3_I[Index_Ref])*(AD19=TBL_Q_05_PAS_C3_I[Ref]),0)), "")</f>
        <v/>
      </c>
      <c r="AE17" s="310" t="str">
        <f t="array" ref="AE17">IF(INDEX(TBL_Q_05_PAS_C3_I[Response], MATCH(1, (AE18=TBL_Q_05_PAS_C3_I[Index_Ref])*(AE19=TBL_Q_05_PAS_C3_I[Ref]),0))&lt;&gt;"", INDEX(TBL_Q_05_PAS_C3_I[Response], MATCH(1, (AE18=TBL_Q_05_PAS_C3_I[Index_Ref])*(AE19=TBL_Q_05_PAS_C3_I[Ref]),0)), "")</f>
        <v/>
      </c>
      <c r="AF17" s="310" t="str">
        <f t="array" ref="AF17">IF(INDEX(TBL_Q_05_PAS_C3_I[Response], MATCH(1, (AF18=TBL_Q_05_PAS_C3_I[Index_Ref])*(AF19=TBL_Q_05_PAS_C3_I[Ref]),0))&lt;&gt;"", INDEX(TBL_Q_05_PAS_C3_I[Response], MATCH(1, (AF18=TBL_Q_05_PAS_C3_I[Index_Ref])*(AF19=TBL_Q_05_PAS_C3_I[Ref]),0)), "")</f>
        <v/>
      </c>
      <c r="AG17" s="310" t="str">
        <f t="array" ref="AG17">IF(INDEX(TBL_Q_05_PAS_C3_I[Response], MATCH(1, (AG18=TBL_Q_05_PAS_C3_I[Index_Ref])*(AG19=TBL_Q_05_PAS_C3_I[Ref]),0))&lt;&gt;"", INDEX(TBL_Q_05_PAS_C3_I[Response], MATCH(1, (AG18=TBL_Q_05_PAS_C3_I[Index_Ref])*(AG19=TBL_Q_05_PAS_C3_I[Ref]),0)), "")</f>
        <v/>
      </c>
      <c r="AH17" s="310" t="str">
        <f t="array" ref="AH17">IF(INDEX(TBL_Q_05_PAS_C3_I[Response], MATCH(1, (AH18=TBL_Q_05_PAS_C3_I[Index_Ref])*(AH19=TBL_Q_05_PAS_C3_I[Ref]),0))&lt;&gt;"", INDEX(TBL_Q_05_PAS_C3_I[Response], MATCH(1, (AH18=TBL_Q_05_PAS_C3_I[Index_Ref])*(AH19=TBL_Q_05_PAS_C3_I[Ref]),0)), "")</f>
        <v/>
      </c>
    </row>
    <row r="18" spans="1:40" hidden="1">
      <c r="A18" s="311" t="s">
        <v>714</v>
      </c>
      <c r="B18" s="317" t="s">
        <v>1103</v>
      </c>
      <c r="C18" s="317" t="s">
        <v>1405</v>
      </c>
      <c r="D18" s="317" t="s">
        <v>1406</v>
      </c>
      <c r="E18" s="317" t="s">
        <v>1407</v>
      </c>
      <c r="F18" s="317" t="s">
        <v>1408</v>
      </c>
      <c r="G18" s="317" t="s">
        <v>1409</v>
      </c>
      <c r="H18" s="317" t="s">
        <v>1410</v>
      </c>
      <c r="I18" s="317" t="s">
        <v>1412</v>
      </c>
      <c r="J18" s="317" t="s">
        <v>1413</v>
      </c>
      <c r="K18" s="317" t="s">
        <v>1414</v>
      </c>
      <c r="L18" s="317" t="s">
        <v>1415</v>
      </c>
      <c r="M18" s="317" t="s">
        <v>1416</v>
      </c>
      <c r="N18" s="317" t="s">
        <v>1417</v>
      </c>
      <c r="O18" s="317" t="s">
        <v>1418</v>
      </c>
      <c r="P18" s="326" t="s">
        <v>1419</v>
      </c>
      <c r="Q18" s="326" t="s">
        <v>1420</v>
      </c>
      <c r="R18" s="326" t="s">
        <v>1421</v>
      </c>
      <c r="S18" s="326" t="s">
        <v>1422</v>
      </c>
      <c r="T18" s="326" t="s">
        <v>1423</v>
      </c>
      <c r="U18" s="326" t="s">
        <v>1424</v>
      </c>
      <c r="V18" s="326" t="s">
        <v>1425</v>
      </c>
      <c r="W18" s="326" t="s">
        <v>1426</v>
      </c>
      <c r="X18" s="326" t="s">
        <v>1427</v>
      </c>
      <c r="Y18" s="326" t="s">
        <v>1428</v>
      </c>
      <c r="Z18" s="326" t="s">
        <v>1261</v>
      </c>
      <c r="AA18" s="326" t="s">
        <v>1212</v>
      </c>
      <c r="AB18" s="326" t="s">
        <v>1213</v>
      </c>
      <c r="AC18" s="326" t="s">
        <v>1214</v>
      </c>
      <c r="AD18" s="326" t="s">
        <v>1279</v>
      </c>
      <c r="AE18" s="326" t="s">
        <v>1280</v>
      </c>
      <c r="AF18" s="326" t="s">
        <v>1281</v>
      </c>
      <c r="AG18" s="326" t="s">
        <v>1282</v>
      </c>
      <c r="AH18" s="326" t="s">
        <v>1283</v>
      </c>
    </row>
    <row r="19" spans="1:40" hidden="1">
      <c r="A19" s="311" t="s">
        <v>90</v>
      </c>
      <c r="B19" s="193" t="s">
        <v>1180</v>
      </c>
      <c r="C19" s="193" t="s">
        <v>1182</v>
      </c>
      <c r="D19" s="193" t="s">
        <v>1194</v>
      </c>
      <c r="E19" s="193" t="s">
        <v>1197</v>
      </c>
      <c r="F19" s="193" t="s">
        <v>1198</v>
      </c>
      <c r="G19" s="193" t="s">
        <v>1199</v>
      </c>
      <c r="H19" s="193" t="s">
        <v>1200</v>
      </c>
      <c r="I19" s="193" t="s">
        <v>1202</v>
      </c>
      <c r="J19" s="193" t="s">
        <v>1203</v>
      </c>
      <c r="K19" s="193" t="s">
        <v>1204</v>
      </c>
      <c r="L19" s="193" t="s">
        <v>1205</v>
      </c>
      <c r="M19" s="193" t="s">
        <v>1206</v>
      </c>
      <c r="N19" s="193" t="s">
        <v>1207</v>
      </c>
      <c r="O19" s="193" t="s">
        <v>1223</v>
      </c>
      <c r="P19" s="327" t="s">
        <v>1224</v>
      </c>
      <c r="Q19" s="327" t="s">
        <v>1225</v>
      </c>
      <c r="R19" s="327" t="s">
        <v>1226</v>
      </c>
      <c r="S19" s="327" t="s">
        <v>1227</v>
      </c>
      <c r="T19" s="327" t="s">
        <v>1228</v>
      </c>
      <c r="U19" s="327" t="s">
        <v>1229</v>
      </c>
      <c r="V19" s="327" t="s">
        <v>1230</v>
      </c>
      <c r="W19" s="327" t="s">
        <v>1231</v>
      </c>
      <c r="X19" s="327" t="s">
        <v>1232</v>
      </c>
      <c r="Y19" s="327" t="s">
        <v>1233</v>
      </c>
      <c r="Z19" s="326" t="s">
        <v>1246</v>
      </c>
      <c r="AA19" s="326" t="s">
        <v>1247</v>
      </c>
      <c r="AB19" s="326" t="s">
        <v>1248</v>
      </c>
      <c r="AC19" s="326" t="s">
        <v>1249</v>
      </c>
      <c r="AD19" s="326" t="s">
        <v>1257</v>
      </c>
      <c r="AE19" s="326" t="s">
        <v>1263</v>
      </c>
      <c r="AF19" s="326" t="s">
        <v>1264</v>
      </c>
      <c r="AG19" s="326" t="s">
        <v>1265</v>
      </c>
      <c r="AH19" s="326" t="s">
        <v>1266</v>
      </c>
    </row>
    <row r="20" spans="1:40" hidden="1"/>
    <row r="21" spans="1:40" hidden="1">
      <c r="A21" s="307" t="s">
        <v>1554</v>
      </c>
      <c r="B21" s="307" t="s">
        <v>1689</v>
      </c>
      <c r="C21" s="307" t="s">
        <v>1690</v>
      </c>
      <c r="D21" s="307" t="s">
        <v>1691</v>
      </c>
    </row>
    <row r="22" spans="1:40" s="9" customFormat="1" ht="12.5" hidden="1">
      <c r="A22" s="313" t="e">
        <f>#REF!</f>
        <v>#REF!</v>
      </c>
      <c r="B22" s="310" t="e">
        <f t="array" ref="B22">IF(INDEX(#REF!, MATCH(1, (B23=#REF!)*(B24=#REF!),0))&lt;&gt;"", INDEX(#REF!, MATCH(1, (B23=#REF!)*(B24=#REF!),0)), "")</f>
        <v>#REF!</v>
      </c>
      <c r="C22" s="310" t="e">
        <f t="array" ref="C22">IF(INDEX(#REF!, MATCH(1, (C23=#REF!)*(C24=#REF!),0))&lt;&gt;"", INDEX(#REF!, MATCH(1, (C23=#REF!)*(C24=#REF!),0)), "")</f>
        <v>#REF!</v>
      </c>
      <c r="D22" s="310" t="e">
        <f t="array" ref="D22">IF(INDEX(#REF!, MATCH(1, (D23=#REF!)*(D24=#REF!),0))&lt;&gt;"", INDEX(#REF!, MATCH(1, (D23=#REF!)*(D24=#REF!),0)), "")</f>
        <v>#REF!</v>
      </c>
    </row>
    <row r="23" spans="1:40" hidden="1">
      <c r="A23" s="311" t="s">
        <v>714</v>
      </c>
      <c r="B23" s="317" t="s">
        <v>836</v>
      </c>
      <c r="C23" s="317" t="s">
        <v>842</v>
      </c>
      <c r="D23" s="317" t="s">
        <v>843</v>
      </c>
    </row>
    <row r="24" spans="1:40" hidden="1">
      <c r="A24" s="311" t="s">
        <v>90</v>
      </c>
      <c r="B24" s="319" t="s">
        <v>1267</v>
      </c>
      <c r="C24" s="319" t="s">
        <v>1268</v>
      </c>
      <c r="D24" s="319" t="s">
        <v>1269</v>
      </c>
    </row>
    <row r="25" spans="1:40" hidden="1"/>
    <row r="26" spans="1:40" hidden="1">
      <c r="A26" s="307" t="s">
        <v>1551</v>
      </c>
      <c r="B26" s="307" t="s">
        <v>1692</v>
      </c>
      <c r="C26" s="307" t="s">
        <v>1693</v>
      </c>
      <c r="D26" s="307" t="s">
        <v>1694</v>
      </c>
      <c r="E26" s="307" t="s">
        <v>1695</v>
      </c>
      <c r="F26" s="307" t="s">
        <v>1696</v>
      </c>
      <c r="G26" s="307" t="s">
        <v>1697</v>
      </c>
      <c r="H26" s="307" t="s">
        <v>1698</v>
      </c>
      <c r="I26" s="307" t="s">
        <v>1699</v>
      </c>
      <c r="J26" s="307" t="s">
        <v>1700</v>
      </c>
      <c r="K26" s="307" t="s">
        <v>1701</v>
      </c>
      <c r="L26" s="307" t="s">
        <v>1702</v>
      </c>
      <c r="M26" s="307" t="s">
        <v>1703</v>
      </c>
      <c r="N26" s="307" t="s">
        <v>1704</v>
      </c>
      <c r="O26" s="307" t="s">
        <v>1705</v>
      </c>
      <c r="P26" t="s">
        <v>1706</v>
      </c>
      <c r="Q26" t="s">
        <v>1707</v>
      </c>
      <c r="R26" t="s">
        <v>1708</v>
      </c>
      <c r="S26" t="s">
        <v>1709</v>
      </c>
      <c r="T26" t="s">
        <v>1710</v>
      </c>
      <c r="U26" t="s">
        <v>1711</v>
      </c>
      <c r="V26" t="s">
        <v>1712</v>
      </c>
      <c r="W26" t="s">
        <v>1713</v>
      </c>
      <c r="X26" t="s">
        <v>1714</v>
      </c>
      <c r="Y26" t="s">
        <v>1715</v>
      </c>
      <c r="Z26" t="s">
        <v>1716</v>
      </c>
      <c r="AA26" t="s">
        <v>1717</v>
      </c>
      <c r="AB26" t="s">
        <v>1718</v>
      </c>
      <c r="AC26" t="s">
        <v>1719</v>
      </c>
      <c r="AD26" t="s">
        <v>1720</v>
      </c>
      <c r="AE26" t="s">
        <v>1721</v>
      </c>
      <c r="AF26" t="s">
        <v>1722</v>
      </c>
      <c r="AG26" t="s">
        <v>1723</v>
      </c>
      <c r="AH26" t="s">
        <v>1724</v>
      </c>
      <c r="AI26" t="s">
        <v>1725</v>
      </c>
      <c r="AJ26" t="s">
        <v>1726</v>
      </c>
      <c r="AK26" t="s">
        <v>1727</v>
      </c>
      <c r="AL26" t="s">
        <v>1728</v>
      </c>
      <c r="AM26" t="s">
        <v>1729</v>
      </c>
      <c r="AN26" t="s">
        <v>1730</v>
      </c>
    </row>
    <row r="27" spans="1:40" s="9" customFormat="1" ht="12.5" hidden="1">
      <c r="A27" s="313" t="e">
        <f>#REF!</f>
        <v>#REF!</v>
      </c>
      <c r="B27" s="310" t="str">
        <f t="array" ref="B27">IF(INDEX(TBL_Q_05_PAS_C4_A[Response], MATCH(1, (B28=TBL_Q_05_PAS_C4_A[Index_Ref])*(B29=TBL_Q_05_PAS_C4_A[Ref]),0))&lt;&gt;"", INDEX(TBL_Q_05_PAS_C4_A[Response], MATCH(1, (B28=TBL_Q_05_PAS_C4_A[Index_Ref])*(B29=TBL_Q_05_PAS_C4_A[Ref]),0)), "")</f>
        <v/>
      </c>
      <c r="C27" s="310" t="str">
        <f t="array" ref="C27">IF(INDEX(TBL_Q_05_PAS_C4_A[Response], MATCH(1, (C28=TBL_Q_05_PAS_C4_A[Index_Ref])*(C29=TBL_Q_05_PAS_C4_A[Ref]),0))&lt;&gt;"", INDEX(TBL_Q_05_PAS_C4_A[Response], MATCH(1, (C28=TBL_Q_05_PAS_C4_A[Index_Ref])*(C29=TBL_Q_05_PAS_C4_A[Ref]),0)), "")</f>
        <v/>
      </c>
      <c r="D27" s="310" t="str">
        <f t="array" ref="D27">IF(INDEX(TBL_Q_05_PAS_C4_A[Response], MATCH(1, (D28=TBL_Q_05_PAS_C4_A[Index_Ref])*(D29=TBL_Q_05_PAS_C4_A[Ref]),0))&lt;&gt;"", INDEX(TBL_Q_05_PAS_C4_A[Response], MATCH(1, (D28=TBL_Q_05_PAS_C4_A[Index_Ref])*(D29=TBL_Q_05_PAS_C4_A[Ref]),0)), "")</f>
        <v/>
      </c>
      <c r="E27" s="310" t="str">
        <f t="array" ref="E27">IF(INDEX(TBL_Q_05_PAS_C4_B[Yes or No?], MATCH(1, (E28=TBL_Q_05_PAS_C4_B[Index_Ref])*(E29=TBL_Q_05_PAS_C4_B[Ref]),0))&lt;&gt;"", INDEX(TBL_Q_05_PAS_C4_B[Yes or No?], MATCH(1, (E28=TBL_Q_05_PAS_C4_B[Index_Ref])*(E29=TBL_Q_05_PAS_C4_B[Ref]),0)), "")</f>
        <v/>
      </c>
      <c r="F27" s="310" t="str">
        <f t="array" ref="F27">IF(INDEX(TBL_Q_05_PAS_C4_B[Yes or No?], MATCH(1, (F28=TBL_Q_05_PAS_C4_B[Index_Ref])*(F29=TBL_Q_05_PAS_C4_B[Ref]),0))&lt;&gt;"", INDEX(TBL_Q_05_PAS_C4_B[Yes or No?], MATCH(1, (F28=TBL_Q_05_PAS_C4_B[Index_Ref])*(F29=TBL_Q_05_PAS_C4_B[Ref]),0)), "")</f>
        <v/>
      </c>
      <c r="G27" s="310" t="str">
        <f t="array" ref="G27">IF(INDEX(TBL_Q_05_PAS_C4_B[Yes or No?], MATCH(1, (G28=TBL_Q_05_PAS_C4_B[Index_Ref])*(G29=TBL_Q_05_PAS_C4_B[Ref]),0))&lt;&gt;"", INDEX(TBL_Q_05_PAS_C4_B[Yes or No?], MATCH(1, (G28=TBL_Q_05_PAS_C4_B[Index_Ref])*(G29=TBL_Q_05_PAS_C4_B[Ref]),0)), "")</f>
        <v/>
      </c>
      <c r="H27" s="310" t="str">
        <f t="array" ref="H27">IF(INDEX(TBL_Q_05_PAS_C4_B[Yes or No?], MATCH(1, (H28=TBL_Q_05_PAS_C4_B[Index_Ref])*(H29=TBL_Q_05_PAS_C4_B[Ref]),0))&lt;&gt;"", INDEX(TBL_Q_05_PAS_C4_B[Yes or No?], MATCH(1, (H28=TBL_Q_05_PAS_C4_B[Index_Ref])*(H29=TBL_Q_05_PAS_C4_B[Ref]),0)), "")</f>
        <v/>
      </c>
      <c r="I27" s="310" t="str">
        <f t="array" ref="I27">IF(INDEX(TBL_Q_05_PAS_C4_B[Yes or No?], MATCH(1, (I28=TBL_Q_05_PAS_C4_B[Index_Ref])*(I29=TBL_Q_05_PAS_C4_B[Ref]),0))&lt;&gt;"", INDEX(TBL_Q_05_PAS_C4_B[Yes or No?], MATCH(1, (I28=TBL_Q_05_PAS_C4_B[Index_Ref])*(I29=TBL_Q_05_PAS_C4_B[Ref]),0)), "")</f>
        <v/>
      </c>
      <c r="J27" s="310" t="str">
        <f t="array" ref="J27">IF(INDEX(TBL_Q_05_PAS_C4_B[Yes or No?], MATCH(1, (J28=TBL_Q_05_PAS_C4_B[Index_Ref])*(J29=TBL_Q_05_PAS_C4_B[Ref]),0))&lt;&gt;"", INDEX(TBL_Q_05_PAS_C4_B[Yes or No?], MATCH(1, (J28=TBL_Q_05_PAS_C4_B[Index_Ref])*(J29=TBL_Q_05_PAS_C4_B[Ref]),0)), "")</f>
        <v/>
      </c>
      <c r="K27" s="310" t="str">
        <f t="array" ref="K27">IF(INDEX(TBL_Q_05_PAS_C4_B[Yes or No?], MATCH(1, (K28=TBL_Q_05_PAS_C4_B[Index_Ref])*(K29=TBL_Q_05_PAS_C4_B[Ref]),0))&lt;&gt;"", INDEX(TBL_Q_05_PAS_C4_B[Yes or No?], MATCH(1, (K28=TBL_Q_05_PAS_C4_B[Index_Ref])*(K29=TBL_Q_05_PAS_C4_B[Ref]),0)), "")</f>
        <v/>
      </c>
      <c r="L27" s="310" t="str">
        <f t="array" ref="L27">IF(INDEX(TBL_Q_05_PAS_C4_B[Yes or No?], MATCH(1, (L28=TBL_Q_05_PAS_C4_B[Index_Ref])*(L29=TBL_Q_05_PAS_C4_B[Ref]),0))&lt;&gt;"", INDEX(TBL_Q_05_PAS_C4_B[Yes or No?], MATCH(1, (L28=TBL_Q_05_PAS_C4_B[Index_Ref])*(L29=TBL_Q_05_PAS_C4_B[Ref]),0)), "")</f>
        <v/>
      </c>
      <c r="M27" s="310" t="str">
        <f t="array" ref="M27">IF(INDEX(TBL_Q_05_PAS_C4_B[Yes or No?], MATCH(1, (M28=TBL_Q_05_PAS_C4_B[Index_Ref])*(M29=TBL_Q_05_PAS_C4_B[Ref]),0))&lt;&gt;"", INDEX(TBL_Q_05_PAS_C4_B[Yes or No?], MATCH(1, (M28=TBL_Q_05_PAS_C4_B[Index_Ref])*(M29=TBL_Q_05_PAS_C4_B[Ref]),0)), "")</f>
        <v/>
      </c>
      <c r="N27" s="310" t="str">
        <f t="array" ref="N27">IF(INDEX(TBL_Q_05_PAS_C4_B[Yes or No?], MATCH(1, (N28=TBL_Q_05_PAS_C4_B[Index_Ref])*(N29=TBL_Q_05_PAS_C4_B[Ref]),0))&lt;&gt;"", INDEX(TBL_Q_05_PAS_C4_B[Yes or No?], MATCH(1, (N28=TBL_Q_05_PAS_C4_B[Index_Ref])*(N29=TBL_Q_05_PAS_C4_B[Ref]),0)), "")</f>
        <v/>
      </c>
      <c r="O27" s="310" t="str">
        <f t="array" ref="O27">IF(INDEX(TBL_Q_05_PAS_C4_C[Yes or No?], MATCH(1, (O28=TBL_Q_05_PAS_C4_C[Index_Ref])*(O29=TBL_Q_05_PAS_C4_C[Ref]),0))&lt;&gt;"", INDEX(TBL_Q_05_PAS_C4_C[Yes or No?], MATCH(1, (O28=TBL_Q_05_PAS_C4_C[Index_Ref])*(O29=TBL_Q_05_PAS_C4_C[Ref]),0)), "")</f>
        <v/>
      </c>
      <c r="P27" s="310" t="str">
        <f t="array" ref="P27">IF(INDEX(TBL_Q_05_PAS_C4_C[Yes or No?], MATCH(1, (P28=TBL_Q_05_PAS_C4_C[Index_Ref])*(P29=TBL_Q_05_PAS_C4_C[Ref]),0))&lt;&gt;"", INDEX(TBL_Q_05_PAS_C4_C[Yes or No?], MATCH(1, (P28=TBL_Q_05_PAS_C4_C[Index_Ref])*(P29=TBL_Q_05_PAS_C4_C[Ref]),0)), "")</f>
        <v/>
      </c>
      <c r="Q27" s="310" t="str">
        <f t="array" ref="Q27">IF(INDEX(TBL_Q_05_PAS_C4_C[Yes or No?], MATCH(1, (Q28=TBL_Q_05_PAS_C4_C[Index_Ref])*(Q29=TBL_Q_05_PAS_C4_C[Ref]),0))&lt;&gt;"", INDEX(TBL_Q_05_PAS_C4_C[Yes or No?], MATCH(1, (Q28=TBL_Q_05_PAS_C4_C[Index_Ref])*(Q29=TBL_Q_05_PAS_C4_C[Ref]),0)), "")</f>
        <v/>
      </c>
      <c r="R27" s="310" t="str">
        <f t="array" ref="R27">IF(INDEX(TBL_Q_05_PAS_C4_C[Yes or No?], MATCH(1, (R28=TBL_Q_05_PAS_C4_C[Index_Ref])*(R29=TBL_Q_05_PAS_C4_C[Ref]),0))&lt;&gt;"", INDEX(TBL_Q_05_PAS_C4_C[Yes or No?], MATCH(1, (R28=TBL_Q_05_PAS_C4_C[Index_Ref])*(R29=TBL_Q_05_PAS_C4_C[Ref]),0)), "")</f>
        <v/>
      </c>
      <c r="S27" s="310" t="str">
        <f t="array" ref="S27">IF(INDEX(TBL_Q_05_PAS_C4_D[Yes or No?], MATCH(1, (S28=TBL_Q_05_PAS_C4_D[Index_Ref])*(S29=TBL_Q_05_PAS_C4_D[Ref]),0))&lt;&gt;"", INDEX(TBL_Q_05_PAS_C4_D[Yes or No?], MATCH(1, (S28=TBL_Q_05_PAS_C4_D[Index_Ref])*(S29=TBL_Q_05_PAS_C4_D[Ref]),0)), "")</f>
        <v/>
      </c>
      <c r="T27" s="310" t="str">
        <f t="array" ref="T27">IF(INDEX(TBL_Q_05_PAS_C4_D[Yes or No?], MATCH(1, (T28=TBL_Q_05_PAS_C4_D[Index_Ref])*(T29=TBL_Q_05_PAS_C4_D[Ref]),0))&lt;&gt;"", INDEX(TBL_Q_05_PAS_C4_D[Yes or No?], MATCH(1, (T28=TBL_Q_05_PAS_C4_D[Index_Ref])*(T29=TBL_Q_05_PAS_C4_D[Ref]),0)), "")</f>
        <v/>
      </c>
      <c r="U27" s="310" t="str">
        <f t="array" ref="U27">IF(INDEX(TBL_Q_05_PAS_C4_D[Yes or No?], MATCH(1, (U28=TBL_Q_05_PAS_C4_D[Index_Ref])*(U29=TBL_Q_05_PAS_C4_D[Ref]),0))&lt;&gt;"", INDEX(TBL_Q_05_PAS_C4_D[Yes or No?], MATCH(1, (U28=TBL_Q_05_PAS_C4_D[Index_Ref])*(U29=TBL_Q_05_PAS_C4_D[Ref]),0)), "")</f>
        <v/>
      </c>
      <c r="V27" s="310" t="str">
        <f t="array" ref="V27">IF(INDEX(TBL_Q_05_PAS_C4_D[Yes or No?], MATCH(1, (V28=TBL_Q_05_PAS_C4_D[Index_Ref])*(V29=TBL_Q_05_PAS_C4_D[Ref]),0))&lt;&gt;"", INDEX(TBL_Q_05_PAS_C4_D[Yes or No?], MATCH(1, (V28=TBL_Q_05_PAS_C4_D[Index_Ref])*(V29=TBL_Q_05_PAS_C4_D[Ref]),0)), "")</f>
        <v/>
      </c>
      <c r="W27" s="310" t="str">
        <f t="array" ref="W27">IF(INDEX(TBL_Q_05_PAS_C4_D[Yes or No?], MATCH(1, (W28=TBL_Q_05_PAS_C4_D[Index_Ref])*(W29=TBL_Q_05_PAS_C4_D[Ref]),0))&lt;&gt;"", INDEX(TBL_Q_05_PAS_C4_D[Yes or No?], MATCH(1, (W28=TBL_Q_05_PAS_C4_D[Index_Ref])*(W29=TBL_Q_05_PAS_C4_D[Ref]),0)), "")</f>
        <v/>
      </c>
      <c r="X27" s="310" t="str">
        <f t="array" ref="X27">IF(INDEX(TBL_Q_05_PAS_C4_D[Yes or No?], MATCH(1, (X28=TBL_Q_05_PAS_C4_D[Index_Ref])*(X29=TBL_Q_05_PAS_C4_D[Ref]),0))&lt;&gt;"", INDEX(TBL_Q_05_PAS_C4_D[Yes or No?], MATCH(1, (X28=TBL_Q_05_PAS_C4_D[Index_Ref])*(X29=TBL_Q_05_PAS_C4_D[Ref]),0)), "")</f>
        <v/>
      </c>
      <c r="Y27" s="310" t="str">
        <f t="array" ref="Y27">IF(INDEX(TBL_Q_05_PAS_C4_D[Yes or No?], MATCH(1, (Y28=TBL_Q_05_PAS_C4_D[Index_Ref])*(Y29=TBL_Q_05_PAS_C4_D[Ref]),0))&lt;&gt;"", INDEX(TBL_Q_05_PAS_C4_D[Yes or No?], MATCH(1, (Y28=TBL_Q_05_PAS_C4_D[Index_Ref])*(Y29=TBL_Q_05_PAS_C4_D[Ref]),0)), "")</f>
        <v/>
      </c>
      <c r="Z27" s="310" t="str">
        <f t="array" ref="Z27">IF(INDEX(TBL_Q_05_PAS_C4_D[Yes or No?], MATCH(1, (Z28=TBL_Q_05_PAS_C4_D[Index_Ref])*(Z29=TBL_Q_05_PAS_C4_D[Ref]),0))&lt;&gt;"", INDEX(TBL_Q_05_PAS_C4_D[Yes or No?], MATCH(1, (Z28=TBL_Q_05_PAS_C4_D[Index_Ref])*(Z29=TBL_Q_05_PAS_C4_D[Ref]),0)), "")</f>
        <v/>
      </c>
      <c r="AA27" s="310" t="str">
        <f t="array" ref="AA27">IF(INDEX(TBL_Q_05_PAS_C4_D[Yes or No?], MATCH(1, (AA28=TBL_Q_05_PAS_C4_D[Index_Ref])*(AA29=TBL_Q_05_PAS_C4_D[Ref]),0))&lt;&gt;"", INDEX(TBL_Q_05_PAS_C4_D[Yes or No?], MATCH(1, (AA28=TBL_Q_05_PAS_C4_D[Index_Ref])*(AA29=TBL_Q_05_PAS_C4_D[Ref]),0)), "")</f>
        <v/>
      </c>
      <c r="AB27" s="310" t="str">
        <f t="array" ref="AB27">IF(INDEX(TBL_Q_05_PAS_C4_D[Yes or No?], MATCH(1, (AB28=TBL_Q_05_PAS_C4_D[Index_Ref])*(AB29=TBL_Q_05_PAS_C4_D[Ref]),0))&lt;&gt;"", INDEX(TBL_Q_05_PAS_C4_D[Yes or No?], MATCH(1, (AB28=TBL_Q_05_PAS_C4_D[Index_Ref])*(AB29=TBL_Q_05_PAS_C4_D[Ref]),0)), "")</f>
        <v/>
      </c>
      <c r="AC27" s="310" t="str">
        <f t="array" ref="AC27">IF(INDEX(TBL_Q_05_PAS_C4_D[Yes or No?], MATCH(1, (AC28=TBL_Q_05_PAS_C4_D[Index_Ref])*(AC29=TBL_Q_05_PAS_C4_D[Ref]),0))&lt;&gt;"", INDEX(TBL_Q_05_PAS_C4_D[Yes or No?], MATCH(1, (AC28=TBL_Q_05_PAS_C4_D[Index_Ref])*(AC29=TBL_Q_05_PAS_C4_D[Ref]),0)), "")</f>
        <v/>
      </c>
      <c r="AD27" s="310" t="str">
        <f t="array" ref="AD27">IF(INDEX(TBL_Q_05_PAS_C4_D[Yes or No?], MATCH(1, (AD28=TBL_Q_05_PAS_C4_D[Index_Ref])*(AD29=TBL_Q_05_PAS_C4_D[Ref]),0))&lt;&gt;"", INDEX(TBL_Q_05_PAS_C4_D[Yes or No?], MATCH(1, (AD28=TBL_Q_05_PAS_C4_D[Index_Ref])*(AD29=TBL_Q_05_PAS_C4_D[Ref]),0)), "")</f>
        <v/>
      </c>
      <c r="AE27" s="310" t="str">
        <f t="array" ref="AE27">IF(INDEX(TBL_Q_05_PAS_C4_D[Yes or No?], MATCH(1, (AE28=TBL_Q_05_PAS_C4_D[Index_Ref])*(AE29=TBL_Q_05_PAS_C4_D[Ref]),0))&lt;&gt;"", INDEX(TBL_Q_05_PAS_C4_D[Yes or No?], MATCH(1, (AE28=TBL_Q_05_PAS_C4_D[Index_Ref])*(AE29=TBL_Q_05_PAS_C4_D[Ref]),0)), "")</f>
        <v/>
      </c>
      <c r="AF27" s="310" t="str">
        <f t="array" ref="AF27">IF(INDEX(TBL_Q_05_PAS_C4_D[Yes or No?], MATCH(1, (AF28=TBL_Q_05_PAS_C4_D[Index_Ref])*(AF29=TBL_Q_05_PAS_C4_D[Ref]),0))&lt;&gt;"", INDEX(TBL_Q_05_PAS_C4_D[Yes or No?], MATCH(1, (AF28=TBL_Q_05_PAS_C4_D[Index_Ref])*(AF29=TBL_Q_05_PAS_C4_D[Ref]),0)), "")</f>
        <v/>
      </c>
      <c r="AG27" s="310" t="str">
        <f t="array" ref="AG27">IF(INDEX(TBL_Q_05_PAS_C4_D[Yes or No?], MATCH(1, (AG28=TBL_Q_05_PAS_C4_D[Index_Ref])*(AG29=TBL_Q_05_PAS_C4_D[Ref]),0))&lt;&gt;"", INDEX(TBL_Q_05_PAS_C4_D[Yes or No?], MATCH(1, (AG28=TBL_Q_05_PAS_C4_D[Index_Ref])*(AG29=TBL_Q_05_PAS_C4_D[Ref]),0)), "")</f>
        <v/>
      </c>
      <c r="AH27" s="310" t="str">
        <f t="array" ref="AH27">IF(INDEX(TBL_Q_05_PAS_C4_D[Yes or No?], MATCH(1, (AH28=TBL_Q_05_PAS_C4_D[Index_Ref])*(AH29=TBL_Q_05_PAS_C4_D[Ref]),0))&lt;&gt;"", INDEX(TBL_Q_05_PAS_C4_D[Yes or No?], MATCH(1, (AH28=TBL_Q_05_PAS_C4_D[Index_Ref])*(AH29=TBL_Q_05_PAS_C4_D[Ref]),0)), "")</f>
        <v/>
      </c>
      <c r="AI27" s="310" t="str">
        <f t="array" ref="AI27">IF(INDEX(TBL_Q_05_PAS_C4_D[Yes or No?], MATCH(1, (AI28=TBL_Q_05_PAS_C4_D[Index_Ref])*(AI29=TBL_Q_05_PAS_C4_D[Ref]),0))&lt;&gt;"", INDEX(TBL_Q_05_PAS_C4_D[Yes or No?], MATCH(1, (AI28=TBL_Q_05_PAS_C4_D[Index_Ref])*(AI29=TBL_Q_05_PAS_C4_D[Ref]),0)), "")</f>
        <v/>
      </c>
      <c r="AJ27" s="310" t="str">
        <f t="array" ref="AJ27">IF(INDEX(TBL_Q_05_PAS_C4_D[Yes or No?], MATCH(1, (AJ28=TBL_Q_05_PAS_C4_D[Index_Ref])*(AJ29=TBL_Q_05_PAS_C4_D[Ref]),0))&lt;&gt;"", INDEX(TBL_Q_05_PAS_C4_D[Yes or No?], MATCH(1, (AJ28=TBL_Q_05_PAS_C4_D[Index_Ref])*(AJ29=TBL_Q_05_PAS_C4_D[Ref]),0)), "")</f>
        <v/>
      </c>
      <c r="AK27" s="310" t="str">
        <f t="array" ref="AK27">IF(INDEX(TBL_Q_05_PAS_C4_D[Yes or No?], MATCH(1, (AK28=TBL_Q_05_PAS_C4_D[Index_Ref])*(AK29=TBL_Q_05_PAS_C4_D[Ref]),0))&lt;&gt;"", INDEX(TBL_Q_05_PAS_C4_D[Yes or No?], MATCH(1, (AK28=TBL_Q_05_PAS_C4_D[Index_Ref])*(AK29=TBL_Q_05_PAS_C4_D[Ref]),0)), "")</f>
        <v/>
      </c>
      <c r="AL27" s="310" t="str">
        <f t="array" ref="AL27">IF(INDEX(TBL_Q_05_PAS_C4_D[Yes or No?], MATCH(1, (AL28=TBL_Q_05_PAS_C4_D[Index_Ref])*(AL29=TBL_Q_05_PAS_C4_D[Ref]),0))&lt;&gt;"", INDEX(TBL_Q_05_PAS_C4_D[Yes or No?], MATCH(1, (AL28=TBL_Q_05_PAS_C4_D[Index_Ref])*(AL29=TBL_Q_05_PAS_C4_D[Ref]),0)), "")</f>
        <v/>
      </c>
      <c r="AM27" s="310" t="str">
        <f t="array" ref="AM27">IF(INDEX(TBL_Q_05_PAS_C4_D[Yes or No?], MATCH(1, (AM28=TBL_Q_05_PAS_C4_D[Index_Ref])*(AM29=TBL_Q_05_PAS_C4_D[Ref]),0))&lt;&gt;"", INDEX(TBL_Q_05_PAS_C4_D[Yes or No?], MATCH(1, (AM28=TBL_Q_05_PAS_C4_D[Index_Ref])*(AM29=TBL_Q_05_PAS_C4_D[Ref]),0)), "")</f>
        <v/>
      </c>
      <c r="AN27" s="310" t="str">
        <f t="array" ref="AN27">IF(INDEX(TBL_Q_05_PAS_C4_D[Yes or No?], MATCH(1, (AN28=TBL_Q_05_PAS_C4_D[Index_Ref])*(AN29=TBL_Q_05_PAS_C4_D[Ref]),0))&lt;&gt;"", INDEX(TBL_Q_05_PAS_C4_D[Yes or No?], MATCH(1, (AN28=TBL_Q_05_PAS_C4_D[Index_Ref])*(AN29=TBL_Q_05_PAS_C4_D[Ref]),0)), "")</f>
        <v/>
      </c>
    </row>
    <row r="28" spans="1:40" hidden="1">
      <c r="A28" s="311" t="s">
        <v>714</v>
      </c>
      <c r="B28" s="317" t="s">
        <v>859</v>
      </c>
      <c r="C28" s="317" t="s">
        <v>860</v>
      </c>
      <c r="D28" s="317" t="s">
        <v>861</v>
      </c>
      <c r="E28" s="37" t="s">
        <v>847</v>
      </c>
      <c r="F28" s="37" t="s">
        <v>849</v>
      </c>
      <c r="G28" s="37" t="s">
        <v>858</v>
      </c>
      <c r="H28" s="37" t="s">
        <v>865</v>
      </c>
      <c r="I28" s="37" t="s">
        <v>899</v>
      </c>
      <c r="J28" s="37" t="s">
        <v>900</v>
      </c>
      <c r="K28" s="37" t="s">
        <v>901</v>
      </c>
      <c r="L28" s="37" t="s">
        <v>902</v>
      </c>
      <c r="M28" s="37" t="s">
        <v>903</v>
      </c>
      <c r="N28" s="37" t="s">
        <v>904</v>
      </c>
      <c r="O28" s="317" t="s">
        <v>935</v>
      </c>
      <c r="P28" s="326" t="s">
        <v>936</v>
      </c>
      <c r="Q28" s="326" t="s">
        <v>937</v>
      </c>
      <c r="R28" s="326" t="s">
        <v>938</v>
      </c>
      <c r="S28" s="326" t="s">
        <v>906</v>
      </c>
      <c r="T28" s="326" t="s">
        <v>907</v>
      </c>
      <c r="U28" s="326" t="s">
        <v>908</v>
      </c>
      <c r="V28" s="326" t="s">
        <v>909</v>
      </c>
      <c r="W28" s="326" t="s">
        <v>954</v>
      </c>
      <c r="X28" s="326" t="s">
        <v>955</v>
      </c>
      <c r="Y28" s="326" t="s">
        <v>956</v>
      </c>
      <c r="Z28" s="326" t="s">
        <v>957</v>
      </c>
      <c r="AA28" s="326" t="s">
        <v>958</v>
      </c>
      <c r="AB28" s="326" t="s">
        <v>963</v>
      </c>
      <c r="AC28" s="326" t="s">
        <v>964</v>
      </c>
      <c r="AD28" s="326" t="s">
        <v>965</v>
      </c>
      <c r="AE28" s="326" t="s">
        <v>966</v>
      </c>
      <c r="AF28" s="326" t="s">
        <v>912</v>
      </c>
      <c r="AG28" s="326" t="s">
        <v>974</v>
      </c>
      <c r="AH28" s="326" t="s">
        <v>975</v>
      </c>
      <c r="AI28" s="326" t="s">
        <v>976</v>
      </c>
      <c r="AJ28" s="326" t="s">
        <v>977</v>
      </c>
      <c r="AK28" s="326" t="s">
        <v>978</v>
      </c>
      <c r="AL28" s="326" t="s">
        <v>979</v>
      </c>
      <c r="AM28" s="326" t="s">
        <v>914</v>
      </c>
      <c r="AN28" s="326" t="s">
        <v>915</v>
      </c>
    </row>
    <row r="29" spans="1:40" hidden="1">
      <c r="A29" s="311" t="s">
        <v>90</v>
      </c>
      <c r="B29" s="319" t="s">
        <v>846</v>
      </c>
      <c r="C29" s="319" t="s">
        <v>848</v>
      </c>
      <c r="D29" s="319" t="s">
        <v>850</v>
      </c>
      <c r="E29" s="319" t="s">
        <v>862</v>
      </c>
      <c r="F29" s="319" t="s">
        <v>863</v>
      </c>
      <c r="G29" s="319" t="s">
        <v>864</v>
      </c>
      <c r="H29" s="319" t="s">
        <v>866</v>
      </c>
      <c r="I29" s="319" t="s">
        <v>867</v>
      </c>
      <c r="J29" s="319" t="s">
        <v>868</v>
      </c>
      <c r="K29" s="319" t="s">
        <v>869</v>
      </c>
      <c r="L29" s="319" t="s">
        <v>870</v>
      </c>
      <c r="M29" s="319" t="s">
        <v>871</v>
      </c>
      <c r="N29" s="319" t="s">
        <v>872</v>
      </c>
      <c r="O29" s="319" t="s">
        <v>873</v>
      </c>
      <c r="P29" s="326" t="s">
        <v>874</v>
      </c>
      <c r="Q29" s="326" t="s">
        <v>875</v>
      </c>
      <c r="R29" s="326" t="s">
        <v>876</v>
      </c>
      <c r="S29" s="326" t="s">
        <v>877</v>
      </c>
      <c r="T29" s="326" t="s">
        <v>878</v>
      </c>
      <c r="U29" s="326" t="s">
        <v>879</v>
      </c>
      <c r="V29" s="326" t="s">
        <v>880</v>
      </c>
      <c r="W29" s="326" t="s">
        <v>881</v>
      </c>
      <c r="X29" s="326" t="s">
        <v>882</v>
      </c>
      <c r="Y29" s="326" t="s">
        <v>883</v>
      </c>
      <c r="Z29" s="326" t="s">
        <v>884</v>
      </c>
      <c r="AA29" s="326" t="s">
        <v>885</v>
      </c>
      <c r="AB29" s="326" t="s">
        <v>886</v>
      </c>
      <c r="AC29" s="326" t="s">
        <v>887</v>
      </c>
      <c r="AD29" s="326" t="s">
        <v>888</v>
      </c>
      <c r="AE29" s="326" t="s">
        <v>889</v>
      </c>
      <c r="AF29" s="326" t="s">
        <v>890</v>
      </c>
      <c r="AG29" s="326" t="s">
        <v>891</v>
      </c>
      <c r="AH29" s="326" t="s">
        <v>892</v>
      </c>
      <c r="AI29" s="326" t="s">
        <v>893</v>
      </c>
      <c r="AJ29" s="326" t="s">
        <v>894</v>
      </c>
      <c r="AK29" s="326" t="s">
        <v>895</v>
      </c>
      <c r="AL29" s="326" t="s">
        <v>896</v>
      </c>
      <c r="AM29" s="326" t="s">
        <v>897</v>
      </c>
      <c r="AN29" s="326" t="s">
        <v>898</v>
      </c>
    </row>
    <row r="30" spans="1:40" hidden="1"/>
    <row r="31" spans="1:40" hidden="1">
      <c r="A31" s="307" t="s">
        <v>1552</v>
      </c>
      <c r="B31" s="6" t="s">
        <v>1731</v>
      </c>
      <c r="C31" s="307" t="s">
        <v>1732</v>
      </c>
      <c r="D31" s="307" t="s">
        <v>1733</v>
      </c>
      <c r="E31" s="307" t="s">
        <v>1734</v>
      </c>
      <c r="F31" s="307" t="s">
        <v>1735</v>
      </c>
      <c r="G31" s="307" t="s">
        <v>1736</v>
      </c>
      <c r="H31" t="s">
        <v>1737</v>
      </c>
      <c r="I31" t="s">
        <v>1738</v>
      </c>
      <c r="J31" t="s">
        <v>1739</v>
      </c>
      <c r="K31" t="s">
        <v>1740</v>
      </c>
      <c r="L31" t="s">
        <v>1741</v>
      </c>
      <c r="M31" t="s">
        <v>1742</v>
      </c>
      <c r="N31" t="s">
        <v>1743</v>
      </c>
      <c r="O31" t="s">
        <v>1744</v>
      </c>
      <c r="P31" t="s">
        <v>1745</v>
      </c>
    </row>
    <row r="32" spans="1:40" s="9" customFormat="1" ht="12.5" hidden="1">
      <c r="A32" s="313" t="e">
        <f>#REF!</f>
        <v>#REF!</v>
      </c>
      <c r="B32" s="310" t="str">
        <f t="array" ref="B32">IF(INDEX(TBL_Q_05_PAS_O1[Yes or No?], MATCH(1, (B33=TBL_Q_05_PAS_O1[Index_Ref])*(B34=TBL_Q_05_PAS_O1[Ref]),0))&lt;&gt;"", INDEX(TBL_Q_05_PAS_O1[Yes or No?], MATCH(1, (B33=TBL_Q_05_PAS_O1[Index_Ref])*(B34=TBL_Q_05_PAS_O1[Ref]),0)), "")</f>
        <v/>
      </c>
      <c r="C32" s="310" t="str">
        <f t="array" ref="C32">IF(INDEX(TBL_Q_05_PAS_O1[Yes or No?], MATCH(1, (C33=TBL_Q_05_PAS_O1[Index_Ref])*(C34=TBL_Q_05_PAS_O1[Ref]),0))&lt;&gt;"", INDEX(TBL_Q_05_PAS_O1[Yes or No?], MATCH(1, (C33=TBL_Q_05_PAS_O1[Index_Ref])*(C34=TBL_Q_05_PAS_O1[Ref]),0)), "")</f>
        <v/>
      </c>
      <c r="D32" s="310" t="str">
        <f t="array" ref="D32">IF(INDEX(TBL_Q_05_PAS_O1[Yes or No?], MATCH(1, (D33=TBL_Q_05_PAS_O1[Index_Ref])*(D34=TBL_Q_05_PAS_O1[Ref]),0))&lt;&gt;"", INDEX(TBL_Q_05_PAS_O1[Yes or No?], MATCH(1, (D33=TBL_Q_05_PAS_O1[Index_Ref])*(D34=TBL_Q_05_PAS_O1[Ref]),0)), "")</f>
        <v/>
      </c>
      <c r="E32" s="310" t="str">
        <f t="array" ref="E32">IF(INDEX(TBL_Q_05_PAS_O1[Yes or No?], MATCH(1, (E33=TBL_Q_05_PAS_O1[Index_Ref])*(E34=TBL_Q_05_PAS_O1[Ref]),0))&lt;&gt;"", INDEX(TBL_Q_05_PAS_O1[Yes or No?], MATCH(1, (E33=TBL_Q_05_PAS_O1[Index_Ref])*(E34=TBL_Q_05_PAS_O1[Ref]),0)), "")</f>
        <v/>
      </c>
      <c r="F32" s="310" t="str">
        <f t="array" ref="F32">IF(INDEX(TBL_Q_05_PAS_O1[Yes or No?], MATCH(1, (F33=TBL_Q_05_PAS_O1[Index_Ref])*(F34=TBL_Q_05_PAS_O1[Ref]),0))&lt;&gt;"", INDEX(TBL_Q_05_PAS_O1[Yes or No?], MATCH(1, (F33=TBL_Q_05_PAS_O1[Index_Ref])*(F34=TBL_Q_05_PAS_O1[Ref]),0)), "")</f>
        <v/>
      </c>
      <c r="G32" s="310" t="str">
        <f t="array" ref="G32">IF(INDEX(TBL_Q_05_PAS_O1[Yes or No?], MATCH(1, (G33=TBL_Q_05_PAS_O1[Index_Ref])*(G34=TBL_Q_05_PAS_O1[Ref]),0))&lt;&gt;"", INDEX(TBL_Q_05_PAS_O1[Yes or No?], MATCH(1, (G33=TBL_Q_05_PAS_O1[Index_Ref])*(G34=TBL_Q_05_PAS_O1[Ref]),0)), "")</f>
        <v/>
      </c>
      <c r="H32" s="310" t="str">
        <f t="array" ref="H32">IF(INDEX(TBL_Q_05_PAS_O1[Yes or No?], MATCH(1, (H33=TBL_Q_05_PAS_O1[Index_Ref])*(H34=TBL_Q_05_PAS_O1[Ref]),0))&lt;&gt;"", INDEX(TBL_Q_05_PAS_O1[Yes or No?], MATCH(1, (H33=TBL_Q_05_PAS_O1[Index_Ref])*(H34=TBL_Q_05_PAS_O1[Ref]),0)), "")</f>
        <v/>
      </c>
      <c r="I32" s="310" t="str">
        <f t="array" ref="I32">IF(INDEX(TBL_Q_05_PAS_O1[Yes or No?], MATCH(1, (I33=TBL_Q_05_PAS_O1[Index_Ref])*(I34=TBL_Q_05_PAS_O1[Ref]),0))&lt;&gt;"", INDEX(TBL_Q_05_PAS_O1[Yes or No?], MATCH(1, (I33=TBL_Q_05_PAS_O1[Index_Ref])*(I34=TBL_Q_05_PAS_O1[Ref]),0)), "")</f>
        <v/>
      </c>
      <c r="J32" s="310" t="str">
        <f t="array" ref="J32">IF(INDEX(TBL_Q_05_PAS_O1[Yes or No?], MATCH(1, (J33=TBL_Q_05_PAS_O1[Index_Ref])*(J34=TBL_Q_05_PAS_O1[Ref]),0))&lt;&gt;"", INDEX(TBL_Q_05_PAS_O1[Yes or No?], MATCH(1, (J33=TBL_Q_05_PAS_O1[Index_Ref])*(J34=TBL_Q_05_PAS_O1[Ref]),0)), "")</f>
        <v/>
      </c>
      <c r="K32" s="310" t="str">
        <f t="array" ref="K32">IF(INDEX(TBL_Q_05_PAS_O1[Yes or No?], MATCH(1, (K33=TBL_Q_05_PAS_O1[Index_Ref])*(K34=TBL_Q_05_PAS_O1[Ref]),0))&lt;&gt;"", INDEX(TBL_Q_05_PAS_O1[Yes or No?], MATCH(1, (K33=TBL_Q_05_PAS_O1[Index_Ref])*(K34=TBL_Q_05_PAS_O1[Ref]),0)), "")</f>
        <v/>
      </c>
      <c r="L32" s="310" t="str">
        <f t="array" ref="L32">IF(INDEX(TBL_Q_05_PAS_O1[Yes or No?], MATCH(1, (L33=TBL_Q_05_PAS_O1[Index_Ref])*(L34=TBL_Q_05_PAS_O1[Ref]),0))&lt;&gt;"", INDEX(TBL_Q_05_PAS_O1[Yes or No?], MATCH(1, (L33=TBL_Q_05_PAS_O1[Index_Ref])*(L34=TBL_Q_05_PAS_O1[Ref]),0)), "")</f>
        <v/>
      </c>
      <c r="M32" s="310" t="str">
        <f t="array" ref="M32">IF(INDEX(TBL_Q_05_PAS_O1[Yes or No?], MATCH(1, (M33=TBL_Q_05_PAS_O1[Index_Ref])*(M34=TBL_Q_05_PAS_O1[Ref]),0))&lt;&gt;"", INDEX(TBL_Q_05_PAS_O1[Yes or No?], MATCH(1, (M33=TBL_Q_05_PAS_O1[Index_Ref])*(M34=TBL_Q_05_PAS_O1[Ref]),0)), "")</f>
        <v/>
      </c>
      <c r="N32" s="310" t="str">
        <f t="array" ref="N32">IF(INDEX(TBL_Q_05_PAS_O1[Yes or No?], MATCH(1, (N33=TBL_Q_05_PAS_O1[Index_Ref])*(N34=TBL_Q_05_PAS_O1[Ref]),0))&lt;&gt;"", INDEX(TBL_Q_05_PAS_O1[Yes or No?], MATCH(1, (N33=TBL_Q_05_PAS_O1[Index_Ref])*(N34=TBL_Q_05_PAS_O1[Ref]),0)), "")</f>
        <v/>
      </c>
      <c r="O32" s="310" t="str">
        <f t="array" ref="O32">IF(INDEX(TBL_Q_05_PAS_O1[Yes or No?], MATCH(1, (O33=TBL_Q_05_PAS_O1[Index_Ref])*(O34=TBL_Q_05_PAS_O1[Ref]),0))&lt;&gt;"", INDEX(TBL_Q_05_PAS_O1[Yes or No?], MATCH(1, (O33=TBL_Q_05_PAS_O1[Index_Ref])*(O34=TBL_Q_05_PAS_O1[Ref]),0)), "")</f>
        <v/>
      </c>
      <c r="P32" s="310" t="str">
        <f t="array" ref="P32">IF(INDEX(TBL_Q_05_PAS_O1[Yes or No?], MATCH(1, (P33=TBL_Q_05_PAS_O1[Index_Ref])*(P34=TBL_Q_05_PAS_O1[Ref]),0))&lt;&gt;"", INDEX(TBL_Q_05_PAS_O1[Yes or No?], MATCH(1, (P33=TBL_Q_05_PAS_O1[Index_Ref])*(P34=TBL_Q_05_PAS_O1[Ref]),0)), "")</f>
        <v/>
      </c>
    </row>
    <row r="33" spans="1:16" hidden="1">
      <c r="A33" s="311" t="s">
        <v>714</v>
      </c>
      <c r="B33" s="317" t="s">
        <v>1019</v>
      </c>
      <c r="C33" s="317" t="s">
        <v>1020</v>
      </c>
      <c r="D33" s="317" t="s">
        <v>1021</v>
      </c>
      <c r="E33" s="317" t="s">
        <v>1022</v>
      </c>
      <c r="F33" s="317" t="s">
        <v>997</v>
      </c>
      <c r="G33" s="317" t="s">
        <v>999</v>
      </c>
      <c r="H33" s="326" t="s">
        <v>1002</v>
      </c>
      <c r="I33" s="326" t="s">
        <v>1004</v>
      </c>
      <c r="J33" s="326" t="s">
        <v>1006</v>
      </c>
      <c r="K33" s="326" t="s">
        <v>1008</v>
      </c>
      <c r="L33" s="326" t="s">
        <v>1010</v>
      </c>
      <c r="M33" s="326" t="s">
        <v>1012</v>
      </c>
      <c r="N33" s="326" t="s">
        <v>1466</v>
      </c>
      <c r="O33" s="326" t="s">
        <v>1467</v>
      </c>
      <c r="P33" s="326" t="s">
        <v>1468</v>
      </c>
    </row>
    <row r="34" spans="1:16" hidden="1">
      <c r="A34" s="311" t="s">
        <v>90</v>
      </c>
      <c r="B34" s="319" t="s">
        <v>996</v>
      </c>
      <c r="C34" s="319" t="s">
        <v>998</v>
      </c>
      <c r="D34" s="319" t="s">
        <v>1000</v>
      </c>
      <c r="E34" s="319" t="s">
        <v>1003</v>
      </c>
      <c r="F34" s="319" t="s">
        <v>1005</v>
      </c>
      <c r="G34" s="319" t="s">
        <v>1007</v>
      </c>
      <c r="H34" s="326" t="s">
        <v>1009</v>
      </c>
      <c r="I34" s="326" t="s">
        <v>1011</v>
      </c>
      <c r="J34" s="326" t="s">
        <v>1013</v>
      </c>
      <c r="K34" s="326" t="s">
        <v>1015</v>
      </c>
      <c r="L34" s="326" t="s">
        <v>1016</v>
      </c>
      <c r="M34" s="326" t="s">
        <v>1017</v>
      </c>
      <c r="N34" s="326" t="s">
        <v>1018</v>
      </c>
      <c r="O34" s="326" t="s">
        <v>1023</v>
      </c>
      <c r="P34" s="326" t="s">
        <v>1024</v>
      </c>
    </row>
    <row r="35" spans="1:16" hidden="1"/>
    <row r="36" spans="1:16" hidden="1">
      <c r="A36" s="307" t="s">
        <v>1555</v>
      </c>
      <c r="B36" s="6" t="s">
        <v>1746</v>
      </c>
      <c r="C36" s="307" t="s">
        <v>1747</v>
      </c>
      <c r="D36" s="307" t="s">
        <v>1748</v>
      </c>
      <c r="E36" s="307" t="s">
        <v>1749</v>
      </c>
      <c r="F36" s="307" t="s">
        <v>1750</v>
      </c>
      <c r="G36" s="307" t="s">
        <v>1751</v>
      </c>
    </row>
    <row r="37" spans="1:16" s="9" customFormat="1" ht="12.5" hidden="1">
      <c r="A37" s="313" t="e">
        <f>#REF!</f>
        <v>#REF!</v>
      </c>
      <c r="B37" s="310" t="str">
        <f>IF('Part 2_Optional 2'!$D$9&lt;&gt;"", 'Part 2_Optional 2'!$D$9, "")</f>
        <v/>
      </c>
      <c r="C37" s="310" t="str">
        <f t="array" ref="C37">IF(INDEX(TBL_Q_05_PAS_O2_B[Yes or No?], MATCH(1, (C38=TBL_Q_05_PAS_O2_B[Index_Ref])*(C39=TBL_Q_05_PAS_O2_B[Ref]),0))&lt;&gt;"", INDEX(TBL_Q_05_PAS_O2_B[Yes or No?], MATCH(1, (C38=TBL_Q_05_PAS_O2_B[Index_Ref])*(C39=TBL_Q_05_PAS_O2_B[Ref]),0)), "")</f>
        <v/>
      </c>
      <c r="D37" s="310" t="str">
        <f t="array" ref="D37">IF(INDEX(TBL_Q_05_PAS_O2_B[Yes or No?], MATCH(1, (D38=TBL_Q_05_PAS_O2_B[Index_Ref])*(D39=TBL_Q_05_PAS_O2_B[Ref]),0))&lt;&gt;"", INDEX(TBL_Q_05_PAS_O2_B[Yes or No?], MATCH(1, (D38=TBL_Q_05_PAS_O2_B[Index_Ref])*(D39=TBL_Q_05_PAS_O2_B[Ref]),0)), "")</f>
        <v/>
      </c>
      <c r="E37" s="310" t="str">
        <f t="array" ref="E37">IF(INDEX(TBL_Q_05_PAS_O2_B[Yes or No?], MATCH(1, (E38=TBL_Q_05_PAS_O2_B[Index_Ref])*(E39=TBL_Q_05_PAS_O2_B[Ref]),0))&lt;&gt;"", INDEX(TBL_Q_05_PAS_O2_B[Yes or No?], MATCH(1, (E38=TBL_Q_05_PAS_O2_B[Index_Ref])*(E39=TBL_Q_05_PAS_O2_B[Ref]),0)), "")</f>
        <v/>
      </c>
      <c r="F37" s="310" t="str">
        <f t="array" ref="F37">IF(INDEX(TBL_Q_05_PAS_O2_B[Yes or No?], MATCH(1, (F38=TBL_Q_05_PAS_O2_B[Index_Ref])*(F39=TBL_Q_05_PAS_O2_B[Ref]),0))&lt;&gt;"", INDEX(TBL_Q_05_PAS_O2_B[Yes or No?], MATCH(1, (F38=TBL_Q_05_PAS_O2_B[Index_Ref])*(F39=TBL_Q_05_PAS_O2_B[Ref]),0)), "")</f>
        <v/>
      </c>
      <c r="G37" s="310" t="str">
        <f t="array" ref="G37">IF(INDEX(TBL_Q_05_PAS_O2_B[Yes or No?], MATCH(1, (G38=TBL_Q_05_PAS_O2_B[Index_Ref])*(G39=TBL_Q_05_PAS_O2_B[Ref]),0))&lt;&gt;"", INDEX(TBL_Q_05_PAS_O2_B[Yes or No?], MATCH(1, (G38=TBL_Q_05_PAS_O2_B[Index_Ref])*(G39=TBL_Q_05_PAS_O2_B[Ref]),0)), "")</f>
        <v/>
      </c>
    </row>
    <row r="38" spans="1:16" hidden="1">
      <c r="A38" s="311" t="s">
        <v>714</v>
      </c>
      <c r="B38" s="317" t="s">
        <v>1046</v>
      </c>
      <c r="C38" s="317" t="s">
        <v>1051</v>
      </c>
      <c r="D38" s="317" t="s">
        <v>1053</v>
      </c>
      <c r="E38" s="317" t="s">
        <v>1055</v>
      </c>
      <c r="F38" s="317" t="s">
        <v>1056</v>
      </c>
      <c r="G38" s="317" t="s">
        <v>1057</v>
      </c>
    </row>
    <row r="39" spans="1:16" hidden="1">
      <c r="A39" s="311" t="s">
        <v>90</v>
      </c>
      <c r="B39" s="193" t="s">
        <v>1047</v>
      </c>
      <c r="C39" s="193" t="s">
        <v>1048</v>
      </c>
      <c r="D39" s="193" t="s">
        <v>1049</v>
      </c>
      <c r="E39" s="193" t="s">
        <v>1050</v>
      </c>
      <c r="F39" s="193" t="s">
        <v>1052</v>
      </c>
      <c r="G39" s="193" t="s">
        <v>1054</v>
      </c>
    </row>
    <row r="40" spans="1:16" hidden="1"/>
    <row r="41" spans="1:16" hidden="1">
      <c r="A41" s="307" t="s">
        <v>1556</v>
      </c>
      <c r="B41" s="6" t="s">
        <v>1752</v>
      </c>
      <c r="C41" s="307" t="s">
        <v>1753</v>
      </c>
      <c r="D41" s="307" t="s">
        <v>1754</v>
      </c>
      <c r="E41" s="307" t="s">
        <v>1755</v>
      </c>
      <c r="F41" s="307" t="s">
        <v>1756</v>
      </c>
      <c r="G41" s="307" t="s">
        <v>1757</v>
      </c>
    </row>
    <row r="42" spans="1:16" s="9" customFormat="1" ht="12.5" hidden="1">
      <c r="A42" s="313" t="e">
        <f>#REF!</f>
        <v>#REF!</v>
      </c>
      <c r="B42" s="310" t="str">
        <f>IF('Part 2_Optional 3'!$D$9&lt;&gt;"", 'Part 2_Optional 3'!$D$9, "")</f>
        <v/>
      </c>
      <c r="C42" s="310" t="str">
        <f t="array" ref="C42">IF(INDEX(TBL_Q_05_PAS_O3_B[Yes or No?], MATCH(1, (C43=TBL_Q_05_PAS_O3_B[Index_Ref])*(C44=TBL_Q_05_PAS_O3_B[Ref]),0))&lt;&gt;"", INDEX(TBL_Q_05_PAS_O3_B[Yes or No?], MATCH(1, (C43=TBL_Q_05_PAS_O3_B[Index_Ref])*(C44=TBL_Q_05_PAS_O3_B[Ref]),0)), "")</f>
        <v/>
      </c>
      <c r="D42" s="310" t="str">
        <f t="array" ref="D42">IF(INDEX(TBL_Q_05_PAS_O3_B[Yes or No?], MATCH(1, (D43=TBL_Q_05_PAS_O3_B[Index_Ref])*(D44=TBL_Q_05_PAS_O3_B[Ref]),0))&lt;&gt;"", INDEX(TBL_Q_05_PAS_O3_B[Yes or No?], MATCH(1, (D43=TBL_Q_05_PAS_O3_B[Index_Ref])*(D44=TBL_Q_05_PAS_O3_B[Ref]),0)), "")</f>
        <v/>
      </c>
      <c r="E42" s="310" t="str">
        <f t="array" ref="E42">IF(INDEX(TBL_Q_05_PAS_O3_B[Yes or No?], MATCH(1, (E43=TBL_Q_05_PAS_O3_B[Index_Ref])*(E44=TBL_Q_05_PAS_O3_B[Ref]),0))&lt;&gt;"", INDEX(TBL_Q_05_PAS_O3_B[Yes or No?], MATCH(1, (E43=TBL_Q_05_PAS_O3_B[Index_Ref])*(E44=TBL_Q_05_PAS_O3_B[Ref]),0)), "")</f>
        <v/>
      </c>
      <c r="F42" s="310" t="str">
        <f t="array" ref="F42">IF(INDEX(TBL_Q_05_PAS_O3_B[Yes or No?], MATCH(1, (F43=TBL_Q_05_PAS_O3_B[Index_Ref])*(F44=TBL_Q_05_PAS_O3_B[Ref]),0))&lt;&gt;"", INDEX(TBL_Q_05_PAS_O3_B[Yes or No?], MATCH(1, (F43=TBL_Q_05_PAS_O3_B[Index_Ref])*(F44=TBL_Q_05_PAS_O3_B[Ref]),0)), "")</f>
        <v/>
      </c>
      <c r="G42" s="310" t="str">
        <f t="array" ref="G42">IF(INDEX(TBL_Q_05_PAS_O3_B[Yes or No?], MATCH(1, (G43=TBL_Q_05_PAS_O3_B[Index_Ref])*(G44=TBL_Q_05_PAS_O3_B[Ref]),0))&lt;&gt;"", INDEX(TBL_Q_05_PAS_O3_B[Yes or No?], MATCH(1, (G43=TBL_Q_05_PAS_O3_B[Index_Ref])*(G44=TBL_Q_05_PAS_O3_B[Ref]),0)), "")</f>
        <v/>
      </c>
    </row>
    <row r="43" spans="1:16" hidden="1">
      <c r="A43" s="311" t="s">
        <v>714</v>
      </c>
      <c r="B43" s="317" t="s">
        <v>1070</v>
      </c>
      <c r="C43" s="317" t="s">
        <v>1071</v>
      </c>
      <c r="D43" s="317" t="s">
        <v>1073</v>
      </c>
      <c r="E43" s="317" t="s">
        <v>1075</v>
      </c>
      <c r="F43" s="317" t="s">
        <v>1077</v>
      </c>
      <c r="G43" s="317" t="s">
        <v>1079</v>
      </c>
    </row>
    <row r="44" spans="1:16" hidden="1">
      <c r="A44" s="311" t="s">
        <v>90</v>
      </c>
      <c r="B44" s="193" t="s">
        <v>1072</v>
      </c>
      <c r="C44" s="193" t="s">
        <v>1074</v>
      </c>
      <c r="D44" s="193" t="s">
        <v>1076</v>
      </c>
      <c r="E44" s="193" t="s">
        <v>1078</v>
      </c>
      <c r="F44" s="193" t="s">
        <v>1080</v>
      </c>
      <c r="G44" s="193" t="s">
        <v>1081</v>
      </c>
    </row>
    <row r="45" spans="1:16" hidden="1"/>
    <row r="46" spans="1:16" hidden="1">
      <c r="A46" s="307" t="s">
        <v>1557</v>
      </c>
      <c r="B46" s="6" t="s">
        <v>1758</v>
      </c>
      <c r="C46" s="307" t="s">
        <v>1759</v>
      </c>
      <c r="D46" s="307" t="s">
        <v>1760</v>
      </c>
      <c r="E46" s="307" t="s">
        <v>1761</v>
      </c>
      <c r="F46" s="307" t="s">
        <v>1762</v>
      </c>
    </row>
    <row r="47" spans="1:16" s="9" customFormat="1" ht="12.5" hidden="1">
      <c r="A47" s="313" t="e">
        <f>#REF!</f>
        <v>#REF!</v>
      </c>
      <c r="B47" s="310" t="e">
        <f>IF(#REF!&lt;&gt;"",#REF!, "")</f>
        <v>#REF!</v>
      </c>
      <c r="C47" s="310" t="e">
        <f t="array" ref="C47">IF(INDEX(#REF!, MATCH(1, (C48=#REF!)*(C49=#REF!),0))&lt;&gt;"", INDEX(#REF!, MATCH(1, (C48=#REF!)*(C49=#REF!),0)), "")</f>
        <v>#REF!</v>
      </c>
      <c r="D47" s="310" t="e">
        <f t="array" ref="D47">IF(INDEX(#REF!, MATCH(1, (D48=#REF!)*(D49=#REF!),0))&lt;&gt;"", INDEX(#REF!, MATCH(1, (D48=#REF!)*(D49=#REF!),0)), "")</f>
        <v>#REF!</v>
      </c>
      <c r="E47" s="310" t="e">
        <f t="array" ref="E47">IF(INDEX(#REF!, MATCH(1, (E48=#REF!)*(E49=#REF!),0))&lt;&gt;"", INDEX(#REF!, MATCH(1, (E48=#REF!)*(E49=#REF!),0)), "")</f>
        <v>#REF!</v>
      </c>
      <c r="F47" s="310" t="e">
        <f t="array" ref="F47">IF(INDEX(#REF!, MATCH(1, (F48=#REF!)*(F49=#REF!),0))&lt;&gt;"", INDEX(#REF!, MATCH(1, (F48=#REF!)*(F49=#REF!),0)), "")</f>
        <v>#REF!</v>
      </c>
    </row>
    <row r="48" spans="1:16" hidden="1">
      <c r="A48" s="311" t="s">
        <v>714</v>
      </c>
      <c r="B48" s="317" t="s">
        <v>1092</v>
      </c>
      <c r="C48" s="317" t="s">
        <v>1094</v>
      </c>
      <c r="D48" s="317" t="s">
        <v>1096</v>
      </c>
      <c r="E48" s="298" t="s">
        <v>1098</v>
      </c>
      <c r="F48" s="298" t="s">
        <v>1100</v>
      </c>
    </row>
    <row r="49" spans="1:6" hidden="1">
      <c r="A49" s="311" t="s">
        <v>90</v>
      </c>
      <c r="B49" s="193" t="s">
        <v>1093</v>
      </c>
      <c r="C49" s="193" t="s">
        <v>1095</v>
      </c>
      <c r="D49" s="193" t="s">
        <v>1097</v>
      </c>
      <c r="E49" s="193" t="s">
        <v>1099</v>
      </c>
      <c r="F49" s="298" t="s">
        <v>1101</v>
      </c>
    </row>
  </sheetData>
  <sheetProtection algorithmName="SHA-512" hashValue="6I+fgJY8pPInZ5Tc7jglTGaGuhXnv+ydbxlEkBdaTMPXJdKYmRgM5723Gf87D3mfEc7BEZZBheyHM9r7HyqzSQ==" saltValue="zezastNjJ5QkuxaM6GCvnw==" spinCount="100000" sheet="1" objects="1" scenarios="1"/>
  <dataValidations disablePrompts="1" count="2">
    <dataValidation type="list" allowBlank="1" showInputMessage="1" showErrorMessage="1" sqref="AE3:AF4" xr:uid="{06BFCC7D-7748-4BF3-9971-EF1424C60B84}">
      <formula1>"Yes, No"</formula1>
    </dataValidation>
    <dataValidation type="decimal" operator="greaterThan" allowBlank="1" showInputMessage="1" showErrorMessage="1" sqref="AG3:AG4" xr:uid="{C0C4559A-53C2-4ACE-B9B3-0930D551A2B6}">
      <formula1>0</formula1>
    </dataValidation>
  </dataValidations>
  <pageMargins left="0.7" right="0.7" top="0.75" bottom="0.75" header="0.3" footer="0.3"/>
  <tableParts count="10">
    <tablePart r:id="rId1"/>
    <tablePart r:id="rId2"/>
    <tablePart r:id="rId3"/>
    <tablePart r:id="rId4"/>
    <tablePart r:id="rId5"/>
    <tablePart r:id="rId6"/>
    <tablePart r:id="rId7"/>
    <tablePart r:id="rId8"/>
    <tablePart r:id="rId9"/>
    <tablePart r:id="rId10"/>
  </tablePart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062A2-8476-41E2-9C4A-719F49A0198E}">
  <sheetPr codeName="Sheet97"/>
  <dimension ref="A1:E51"/>
  <sheetViews>
    <sheetView topLeftCell="I1" workbookViewId="0">
      <selection activeCell="H1" sqref="A1:H1048576"/>
    </sheetView>
  </sheetViews>
  <sheetFormatPr defaultRowHeight="12.5"/>
  <cols>
    <col min="1" max="1" width="9.453125" hidden="1" customWidth="1"/>
    <col min="2" max="2" width="0" hidden="1" customWidth="1"/>
    <col min="3" max="3" width="34.6328125" hidden="1" customWidth="1"/>
    <col min="4" max="4" width="9.36328125" hidden="1" customWidth="1"/>
    <col min="5" max="5" width="13" hidden="1" customWidth="1"/>
    <col min="6" max="8" width="0" hidden="1" customWidth="1"/>
  </cols>
  <sheetData>
    <row r="1" spans="1:5">
      <c r="A1" t="s">
        <v>478</v>
      </c>
      <c r="B1" t="s">
        <v>90</v>
      </c>
      <c r="C1" t="s">
        <v>91</v>
      </c>
      <c r="D1" t="s">
        <v>503</v>
      </c>
      <c r="E1" t="s">
        <v>492</v>
      </c>
    </row>
    <row r="2" spans="1:5">
      <c r="A2" t="s">
        <v>150</v>
      </c>
      <c r="B2" t="s">
        <v>494</v>
      </c>
      <c r="E2" s="134" t="e">
        <f t="array" ref="E2">IF(INDEX(TBL_PF_1[Figure for evaluation purposes], MATCH(1, (TBL_RES_06_Output[[#This Row],[Ref]]=TBL_PF_1[Ref])*(TBL_RES_06_Output[[#This Row],[Description]]=TBL_PF_1[Description]), 0))&lt;&gt;"", IF(INDEX(TBL_PF_1[Figure for evaluation purposes], MATCH(1, (TBL_RES_06_Output[[#This Row],[Ref]]=TBL_PF_1[Ref])*(TBL_RES_06_Output[[#This Row],[Description]]=TBL_PF_1[Description]), 0))="Missing info", "Missing info", ROUND(INDEX(TBL_PF_1[Figure for evaluation purposes], MATCH(1, (TBL_RES_06_Output[[#This Row],[Ref]]=TBL_PF_1[Ref])*(TBL_RES_06_Output[[#This Row],[Description]]=TBL_PF_1[Description]), 0)), 2)), "Missing info")</f>
        <v>#N/A</v>
      </c>
    </row>
    <row r="3" spans="1:5">
      <c r="A3" t="s">
        <v>150</v>
      </c>
      <c r="B3" t="s">
        <v>495</v>
      </c>
      <c r="E3" s="134" t="e">
        <f t="array" ref="E3">IF(INDEX(TBL_PF_1[Figure for evaluation purposes], MATCH(1, (TBL_RES_06_Output[[#This Row],[Ref]]=TBL_PF_1[Ref])*(TBL_RES_06_Output[[#This Row],[Description]]=TBL_PF_1[Description]), 0))&lt;&gt;"", IF(INDEX(TBL_PF_1[Figure for evaluation purposes], MATCH(1, (TBL_RES_06_Output[[#This Row],[Ref]]=TBL_PF_1[Ref])*(TBL_RES_06_Output[[#This Row],[Description]]=TBL_PF_1[Description]), 0))="Missing info", "Missing info", ROUND(INDEX(TBL_PF_1[Figure for evaluation purposes], MATCH(1, (TBL_RES_06_Output[[#This Row],[Ref]]=TBL_PF_1[Ref])*(TBL_RES_06_Output[[#This Row],[Description]]=TBL_PF_1[Description]), 0)), 2)), "Missing info")</f>
        <v>#N/A</v>
      </c>
    </row>
    <row r="4" spans="1:5">
      <c r="A4" t="s">
        <v>150</v>
      </c>
      <c r="B4" t="s">
        <v>496</v>
      </c>
      <c r="E4" s="134" t="e">
        <f t="array" ref="E4">IF(INDEX(TBL_PF_1[Figure for evaluation purposes], MATCH(1, (TBL_RES_06_Output[[#This Row],[Ref]]=TBL_PF_1[Ref])*(TBL_RES_06_Output[[#This Row],[Description]]=TBL_PF_1[Description]), 0))&lt;&gt;"", IF(INDEX(TBL_PF_1[Figure for evaluation purposes], MATCH(1, (TBL_RES_06_Output[[#This Row],[Ref]]=TBL_PF_1[Ref])*(TBL_RES_06_Output[[#This Row],[Description]]=TBL_PF_1[Description]), 0))="Missing info", "Missing info", ROUND(INDEX(TBL_PF_1[Figure for evaluation purposes], MATCH(1, (TBL_RES_06_Output[[#This Row],[Ref]]=TBL_PF_1[Ref])*(TBL_RES_06_Output[[#This Row],[Description]]=TBL_PF_1[Description]), 0)), 2)), "Missing info")</f>
        <v>#N/A</v>
      </c>
    </row>
    <row r="5" spans="1:5">
      <c r="A5" t="s">
        <v>150</v>
      </c>
      <c r="B5" t="s">
        <v>497</v>
      </c>
      <c r="E5" s="134" t="e">
        <f t="array" ref="E5">IF(INDEX(TBL_PF_1[Figure for evaluation purposes], MATCH(1, (TBL_RES_06_Output[[#This Row],[Ref]]=TBL_PF_1[Ref])*(TBL_RES_06_Output[[#This Row],[Description]]=TBL_PF_1[Description]), 0))&lt;&gt;"", IF(INDEX(TBL_PF_1[Figure for evaluation purposes], MATCH(1, (TBL_RES_06_Output[[#This Row],[Ref]]=TBL_PF_1[Ref])*(TBL_RES_06_Output[[#This Row],[Description]]=TBL_PF_1[Description]), 0))="Missing info", "Missing info", ROUND(INDEX(TBL_PF_1[Figure for evaluation purposes], MATCH(1, (TBL_RES_06_Output[[#This Row],[Ref]]=TBL_PF_1[Ref])*(TBL_RES_06_Output[[#This Row],[Description]]=TBL_PF_1[Description]), 0)), 2)), "Missing info")</f>
        <v>#N/A</v>
      </c>
    </row>
    <row r="6" spans="1:5">
      <c r="A6" t="s">
        <v>150</v>
      </c>
      <c r="B6" t="s">
        <v>498</v>
      </c>
      <c r="E6" s="134" t="e">
        <f t="array" ref="E6">IF(INDEX(TBL_PF_1[Figure for evaluation purposes], MATCH(1, (TBL_RES_06_Output[[#This Row],[Ref]]=TBL_PF_1[Ref])*(TBL_RES_06_Output[[#This Row],[Description]]=TBL_PF_1[Description]), 0))&lt;&gt;"", IF(INDEX(TBL_PF_1[Figure for evaluation purposes], MATCH(1, (TBL_RES_06_Output[[#This Row],[Ref]]=TBL_PF_1[Ref])*(TBL_RES_06_Output[[#This Row],[Description]]=TBL_PF_1[Description]), 0))="Missing info", "Missing info", ROUND(INDEX(TBL_PF_1[Figure for evaluation purposes], MATCH(1, (TBL_RES_06_Output[[#This Row],[Ref]]=TBL_PF_1[Ref])*(TBL_RES_06_Output[[#This Row],[Description]]=TBL_PF_1[Description]), 0)), 2)), "Missing info")</f>
        <v>#N/A</v>
      </c>
    </row>
    <row r="7" spans="1:5">
      <c r="E7" s="134"/>
    </row>
    <row r="8" spans="1:5">
      <c r="E8" s="134"/>
    </row>
    <row r="9" spans="1:5">
      <c r="E9" s="134"/>
    </row>
    <row r="10" spans="1:5">
      <c r="E10" s="134"/>
    </row>
    <row r="11" spans="1:5">
      <c r="E11" s="134"/>
    </row>
    <row r="12" spans="1:5">
      <c r="E12" s="134"/>
    </row>
    <row r="13" spans="1:5">
      <c r="E13" s="134"/>
    </row>
    <row r="14" spans="1:5">
      <c r="E14" s="134"/>
    </row>
    <row r="15" spans="1:5">
      <c r="E15" s="134"/>
    </row>
    <row r="16" spans="1:5">
      <c r="E16" s="134"/>
    </row>
    <row r="17" spans="5:5">
      <c r="E17" s="134"/>
    </row>
    <row r="18" spans="5:5">
      <c r="E18" s="134"/>
    </row>
    <row r="19" spans="5:5">
      <c r="E19" s="134"/>
    </row>
    <row r="20" spans="5:5">
      <c r="E20" s="134"/>
    </row>
    <row r="21" spans="5:5">
      <c r="E21" s="134"/>
    </row>
    <row r="22" spans="5:5">
      <c r="E22" s="134"/>
    </row>
    <row r="23" spans="5:5">
      <c r="E23" s="134"/>
    </row>
    <row r="24" spans="5:5">
      <c r="E24" s="134"/>
    </row>
    <row r="25" spans="5:5">
      <c r="E25" s="134"/>
    </row>
    <row r="26" spans="5:5">
      <c r="E26" s="134"/>
    </row>
    <row r="27" spans="5:5">
      <c r="E27" s="134"/>
    </row>
    <row r="28" spans="5:5">
      <c r="E28" s="134"/>
    </row>
    <row r="29" spans="5:5">
      <c r="E29" s="134"/>
    </row>
    <row r="30" spans="5:5">
      <c r="E30" s="134"/>
    </row>
    <row r="31" spans="5:5">
      <c r="E31" s="134"/>
    </row>
    <row r="32" spans="5:5">
      <c r="E32" s="134"/>
    </row>
    <row r="33" spans="5:5">
      <c r="E33" s="134"/>
    </row>
    <row r="34" spans="5:5">
      <c r="E34" s="134"/>
    </row>
    <row r="35" spans="5:5">
      <c r="E35" s="134"/>
    </row>
    <row r="36" spans="5:5">
      <c r="E36" s="134"/>
    </row>
    <row r="37" spans="5:5">
      <c r="E37" s="134"/>
    </row>
    <row r="38" spans="5:5">
      <c r="E38" s="134"/>
    </row>
    <row r="39" spans="5:5">
      <c r="E39" s="134"/>
    </row>
    <row r="40" spans="5:5">
      <c r="E40" s="134"/>
    </row>
    <row r="41" spans="5:5">
      <c r="E41" s="134"/>
    </row>
    <row r="42" spans="5:5">
      <c r="E42" s="134"/>
    </row>
    <row r="43" spans="5:5">
      <c r="E43" s="134"/>
    </row>
    <row r="44" spans="5:5">
      <c r="E44" s="134"/>
    </row>
    <row r="45" spans="5:5">
      <c r="E45" s="134"/>
    </row>
    <row r="46" spans="5:5">
      <c r="E46" s="134"/>
    </row>
    <row r="47" spans="5:5">
      <c r="E47" s="134"/>
    </row>
    <row r="48" spans="5:5">
      <c r="E48" s="134"/>
    </row>
    <row r="49" spans="5:5">
      <c r="E49" s="134"/>
    </row>
    <row r="50" spans="5:5">
      <c r="E50" s="134"/>
    </row>
    <row r="51" spans="5:5">
      <c r="E51" s="134"/>
    </row>
  </sheetData>
  <sheetProtection algorithmName="SHA-512" hashValue="iIphrji27Hf2KBnSfLKIaw/ZJmNbaeRMrD7B8TH/g6Ed11lIX62DOTCWdfygrpt0WMcTmOQYdU4/jVUsWly5cQ==" saltValue="zWWeShdpOH0yk2IieylJmg==" spinCount="100000" sheet="1" objects="1" scenarios="1"/>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791A2-5A1F-46E2-82EA-22224135033B}">
  <sheetPr codeName="Sheet37"/>
  <dimension ref="A1:G19"/>
  <sheetViews>
    <sheetView topLeftCell="I1" workbookViewId="0">
      <selection activeCell="H1" sqref="C1:H1048576"/>
    </sheetView>
  </sheetViews>
  <sheetFormatPr defaultRowHeight="12.5"/>
  <cols>
    <col min="1" max="1" width="14.36328125" hidden="1" customWidth="1"/>
    <col min="2" max="2" width="13.36328125" hidden="1" customWidth="1"/>
    <col min="3" max="3" width="33.36328125" hidden="1" customWidth="1"/>
    <col min="4" max="4" width="25.36328125" hidden="1" customWidth="1"/>
    <col min="5" max="5" width="16.6328125" hidden="1" customWidth="1"/>
    <col min="6" max="6" width="27.36328125" hidden="1" customWidth="1"/>
    <col min="7" max="7" width="6.54296875" hidden="1" customWidth="1"/>
    <col min="8" max="8" width="0" hidden="1" customWidth="1"/>
  </cols>
  <sheetData>
    <row r="1" spans="1:6" ht="17.5">
      <c r="C1" s="422" t="s">
        <v>2079</v>
      </c>
    </row>
    <row r="3" spans="1:6">
      <c r="A3" s="79" t="s">
        <v>419</v>
      </c>
      <c r="B3" s="76" t="s">
        <v>420</v>
      </c>
      <c r="C3" s="78" t="s">
        <v>416</v>
      </c>
      <c r="D3" s="76" t="s">
        <v>148</v>
      </c>
      <c r="E3" s="76" t="s">
        <v>417</v>
      </c>
      <c r="F3" s="76" t="s">
        <v>418</v>
      </c>
    </row>
    <row r="4" spans="1:6">
      <c r="A4" s="82" t="str">
        <f>IF(TBL_ADD_01_QA_Tender[[#This Row],[Name]]&lt;&gt;"", IF(OR( AND(D6&lt;&gt;"", D6= TBL_ADD_01_QA_Tender[[#This Row],[Name]]), AND(D7&lt;&gt;"",D7= TBL_ADD_01_QA_Tender[[#This Row],[Name]])),"Error!", ""), "Add")</f>
        <v/>
      </c>
      <c r="B4" s="82" t="str">
        <f>IF(TBL_ADD_01_QA_Tender[[#This Row],[Date Completed]]&lt;&gt;"", "", "Add")</f>
        <v/>
      </c>
      <c r="C4" s="80" t="s">
        <v>421</v>
      </c>
      <c r="D4" s="80" t="str">
        <f>IF('Project Info'!$K$26&lt;&gt;"", 'Project Info'!$K$26, "")</f>
        <v>Julie Watts</v>
      </c>
      <c r="E4" s="81">
        <v>45420</v>
      </c>
      <c r="F4" s="77"/>
    </row>
    <row r="5" spans="1:6">
      <c r="A5" s="82" t="str">
        <f>IF(TBL_ADD_01_QA_Tender[[#This Row],[Name]]&lt;&gt;"", IF(OR( AND(D6&lt;&gt;"", D6= TBL_ADD_01_QA_Tender[[#This Row],[Name]]), AND(D7&lt;&gt;"",D7= TBL_ADD_01_QA_Tender[[#This Row],[Name]])),"Error!", ""), "Add")</f>
        <v>Add</v>
      </c>
      <c r="B5" s="82" t="str">
        <f>IF(TBL_ADD_01_QA_Tender[[#This Row],[Date Completed]]&lt;&gt;"", "", "Add")</f>
        <v>Add</v>
      </c>
      <c r="C5" s="80" t="s">
        <v>583</v>
      </c>
      <c r="D5" s="80"/>
      <c r="E5" s="81"/>
      <c r="F5" s="77"/>
    </row>
    <row r="6" spans="1:6">
      <c r="A6" s="83" t="str">
        <f>IF(TBL_ADD_01_QA_Tender[[#This Row],[Name]]&lt;&gt;"", IF(OR(AND(D4&lt;&gt;"", D4= TBL_ADD_01_QA_Tender[[#This Row],[Name]]), AND(D5&lt;&gt;"",D5= TBL_ADD_01_QA_Tender[[#This Row],[Name]]), AND(D7&lt;&gt;"",D7= TBL_ADD_01_QA_Tender[[#This Row],[Name]])),"Error!", ""), "Add")</f>
        <v>Add</v>
      </c>
      <c r="B6" s="83" t="str">
        <f>IF(TBL_ADD_01_QA_Tender[[#This Row],[Date Completed]]&lt;&gt;"", "", "Add")</f>
        <v>Add</v>
      </c>
      <c r="C6" s="80" t="s">
        <v>422</v>
      </c>
      <c r="D6" s="80"/>
      <c r="E6" s="81"/>
      <c r="F6" s="77"/>
    </row>
    <row r="7" spans="1:6">
      <c r="A7" s="82" t="str">
        <f>IF(TBL_ADD_01_QA_Tender[[#This Row],[Name]]&lt;&gt;"", IF(OR(AND(D4&lt;&gt;"", D4= TBL_ADD_01_QA_Tender[[#This Row],[Name]]), AND(D5&lt;&gt;"",D5= TBL_ADD_01_QA_Tender[[#This Row],[Name]]), AND(D6&lt;&gt;"",D6= TBL_ADD_01_QA_Tender[[#This Row],[Name]])),"Error!", ""), "Add")</f>
        <v>Add</v>
      </c>
      <c r="B7" s="83" t="str">
        <f>IF(TBL_ADD_01_QA_Tender[[#This Row],[Date Completed]]&lt;&gt;"", "", "Add")</f>
        <v>Add</v>
      </c>
      <c r="C7" s="80" t="s">
        <v>584</v>
      </c>
      <c r="D7" s="80"/>
      <c r="E7" s="81"/>
      <c r="F7" s="77"/>
    </row>
    <row r="8" spans="1:6">
      <c r="A8" s="83" t="str">
        <f>IF(TBL_ADD_01_QA_Tender[[#This Row],[Name]]&lt;&gt;"", IF(AND(D9&lt;&gt;"", D9= TBL_ADD_01_QA_Tender[[#This Row],[Name]]), "Error!", ""), "")</f>
        <v/>
      </c>
      <c r="B8" s="83" t="str">
        <f>IF(TBL_ADD_01_QA_Tender[[#This Row],[Name]]&lt;&gt;"", IF(TBL_ADD_01_QA_Tender[[#This Row],[Date Completed]]&lt;&gt;"", "", "Add"), "")</f>
        <v/>
      </c>
      <c r="C8" s="80" t="s">
        <v>423</v>
      </c>
      <c r="D8" s="80"/>
      <c r="E8" s="81"/>
      <c r="F8" s="77"/>
    </row>
    <row r="9" spans="1:6">
      <c r="A9" s="82" t="str">
        <f>IF(D8&lt;&gt;"", IF(AND(TBL_ADD_01_QA_Tender[[#This Row],[Name]]&lt;&gt;"", D8= TBL_ADD_01_QA_Tender[[#This Row],[Name]]), "Error!", IF(TBL_ADD_01_QA_Tender[[#This Row],[Name]]&lt;&gt;"", "", "Add")), "")</f>
        <v/>
      </c>
      <c r="B9" s="83" t="str">
        <f>IF(D8&lt;&gt;"", IF(TBL_ADD_01_QA_Tender[[#This Row],[Date Completed]]&lt;&gt;"", "", "Add"), "")</f>
        <v/>
      </c>
      <c r="C9" s="80" t="s">
        <v>424</v>
      </c>
      <c r="D9" s="80"/>
      <c r="E9" s="81"/>
      <c r="F9" s="77"/>
    </row>
    <row r="10" spans="1:6">
      <c r="A10" s="83" t="str">
        <f>IF(TBL_ADD_01_QA_Tender[[#This Row],[Name]]&lt;&gt;"", IF(AND(D11&lt;&gt;"", D11= TBL_ADD_01_QA_Tender[[#This Row],[Name]]), "Error!", ""), "")</f>
        <v/>
      </c>
      <c r="B10" s="83" t="str">
        <f>IF(TBL_ADD_01_QA_Tender[[#This Row],[Name]]&lt;&gt;"", IF(TBL_ADD_01_QA_Tender[[#This Row],[Date Completed]]&lt;&gt;"", "", "Add"), "")</f>
        <v/>
      </c>
      <c r="C10" s="80" t="s">
        <v>425</v>
      </c>
      <c r="D10" s="80"/>
      <c r="E10" s="81"/>
      <c r="F10" s="77"/>
    </row>
    <row r="11" spans="1:6">
      <c r="A11" s="82" t="str">
        <f>IF(D10&lt;&gt;"", IF(AND(TBL_ADD_01_QA_Tender[[#This Row],[Name]]&lt;&gt;"", D10= TBL_ADD_01_QA_Tender[[#This Row],[Name]]), "Error!", IF(TBL_ADD_01_QA_Tender[[#This Row],[Name]]&lt;&gt;"", "", "Add")), "")</f>
        <v/>
      </c>
      <c r="B11" s="83" t="str">
        <f>IF(D10&lt;&gt;"", IF(TBL_ADD_01_QA_Tender[[#This Row],[Date Completed]]&lt;&gt;"", "", "Add"), "")</f>
        <v/>
      </c>
      <c r="C11" s="80" t="s">
        <v>426</v>
      </c>
      <c r="D11" s="80"/>
      <c r="E11" s="81"/>
      <c r="F11" s="77"/>
    </row>
    <row r="12" spans="1:6">
      <c r="A12" s="83" t="str">
        <f>IF(TBL_ADD_01_QA_Tender[[#This Row],[Name]]&lt;&gt;"", IF(AND(D13&lt;&gt;"", D13= TBL_ADD_01_QA_Tender[[#This Row],[Name]]), "Error!", ""), "")</f>
        <v/>
      </c>
      <c r="B12" s="83" t="str">
        <f>IF(TBL_ADD_01_QA_Tender[[#This Row],[Name]]&lt;&gt;"", IF(TBL_ADD_01_QA_Tender[[#This Row],[Date Completed]]&lt;&gt;"", "", "Add"), "")</f>
        <v/>
      </c>
      <c r="C12" s="80" t="s">
        <v>427</v>
      </c>
      <c r="D12" s="80"/>
      <c r="E12" s="81"/>
      <c r="F12" s="77"/>
    </row>
    <row r="13" spans="1:6">
      <c r="A13" s="82" t="str">
        <f>IF(D12&lt;&gt;"", IF(AND(TBL_ADD_01_QA_Tender[[#This Row],[Name]]&lt;&gt;"", D12= TBL_ADD_01_QA_Tender[[#This Row],[Name]]), "Error!", IF(TBL_ADD_01_QA_Tender[[#This Row],[Name]]&lt;&gt;"", "", "Add")), "")</f>
        <v/>
      </c>
      <c r="B13" s="83" t="str">
        <f>IF(D12&lt;&gt;"", IF(TBL_ADD_01_QA_Tender[[#This Row],[Date Completed]]&lt;&gt;"", "", "Add"), "")</f>
        <v/>
      </c>
      <c r="C13" s="80" t="s">
        <v>428</v>
      </c>
      <c r="D13" s="80"/>
      <c r="E13" s="81"/>
      <c r="F13" s="77"/>
    </row>
    <row r="14" spans="1:6">
      <c r="A14" s="83" t="str">
        <f>IF(TBL_ADD_01_QA_Tender[[#This Row],[Name]]&lt;&gt;"", IF(AND(D15&lt;&gt;"", D15= TBL_ADD_01_QA_Tender[[#This Row],[Name]]), "Error!", ""), "")</f>
        <v/>
      </c>
      <c r="B14" s="83" t="str">
        <f>IF(TBL_ADD_01_QA_Tender[[#This Row],[Name]]&lt;&gt;"", IF(TBL_ADD_01_QA_Tender[[#This Row],[Date Completed]]&lt;&gt;"", "", "Add"), "")</f>
        <v/>
      </c>
      <c r="C14" s="80" t="s">
        <v>429</v>
      </c>
      <c r="D14" s="80"/>
      <c r="E14" s="81"/>
      <c r="F14" s="77"/>
    </row>
    <row r="15" spans="1:6">
      <c r="A15" s="82" t="str">
        <f>IF(D14&lt;&gt;"", IF(AND(TBL_ADD_01_QA_Tender[[#This Row],[Name]]&lt;&gt;"", D14= TBL_ADD_01_QA_Tender[[#This Row],[Name]]), "Error!", IF(TBL_ADD_01_QA_Tender[[#This Row],[Name]]&lt;&gt;"", "", "Add")), "")</f>
        <v/>
      </c>
      <c r="B15" s="83" t="str">
        <f>IF(D14&lt;&gt;"", IF(TBL_ADD_01_QA_Tender[[#This Row],[Date Completed]]&lt;&gt;"", "", "Add"), "")</f>
        <v/>
      </c>
      <c r="C15" s="80" t="s">
        <v>430</v>
      </c>
      <c r="D15" s="80"/>
      <c r="E15" s="81"/>
      <c r="F15" s="77"/>
    </row>
    <row r="16" spans="1:6">
      <c r="A16" s="83" t="str">
        <f>IF(TBL_ADD_01_QA_Tender[[#This Row],[Name]]&lt;&gt;"", IF(AND(D17&lt;&gt;"", D17= TBL_ADD_01_QA_Tender[[#This Row],[Name]]), "Error!", ""), "")</f>
        <v/>
      </c>
      <c r="B16" s="83" t="str">
        <f>IF(TBL_ADD_01_QA_Tender[[#This Row],[Name]]&lt;&gt;"", IF(TBL_ADD_01_QA_Tender[[#This Row],[Date Completed]]&lt;&gt;"", "", "Add"), "")</f>
        <v/>
      </c>
      <c r="C16" s="80" t="s">
        <v>431</v>
      </c>
      <c r="D16" s="80"/>
      <c r="E16" s="81"/>
      <c r="F16" s="77"/>
    </row>
    <row r="17" spans="1:6">
      <c r="A17" s="82" t="str">
        <f>IF(D16&lt;&gt;"", IF(AND(TBL_ADD_01_QA_Tender[[#This Row],[Name]]&lt;&gt;"", D16= TBL_ADD_01_QA_Tender[[#This Row],[Name]]), "Error!", IF(TBL_ADD_01_QA_Tender[[#This Row],[Name]]&lt;&gt;"", "", "Add")), "")</f>
        <v/>
      </c>
      <c r="B17" s="83" t="str">
        <f>IF(D16&lt;&gt;"", IF(TBL_ADD_01_QA_Tender[[#This Row],[Date Completed]]&lt;&gt;"", "", "Add"), "")</f>
        <v/>
      </c>
      <c r="C17" s="80" t="s">
        <v>432</v>
      </c>
      <c r="D17" s="80"/>
      <c r="E17" s="81"/>
      <c r="F17" s="77"/>
    </row>
    <row r="18" spans="1:6">
      <c r="A18" t="str">
        <f>IF(TBL_ADD_01_QA_Tender[[#This Row],[Name]]&lt;&gt;"", IF(AND(D19&lt;&gt;"", D19= TBL_ADD_01_QA_Tender[[#This Row],[Name]]), "Error!", ""), "")</f>
        <v/>
      </c>
      <c r="B18" t="str">
        <f>IF(TBL_ADD_01_QA_Tender[[#This Row],[Name]]&lt;&gt;"", IF(TBL_ADD_01_QA_Tender[[#This Row],[Date Completed]]&lt;&gt;"", "", "Add"), "")</f>
        <v/>
      </c>
      <c r="C18" s="373" t="s">
        <v>433</v>
      </c>
      <c r="D18" s="373"/>
      <c r="E18" s="373"/>
      <c r="F18" s="373"/>
    </row>
    <row r="19" spans="1:6">
      <c r="A19" t="str">
        <f>IF(D18&lt;&gt;"", IF(AND(TBL_ADD_01_QA_Tender[[#This Row],[Name]]&lt;&gt;"", D18= TBL_ADD_01_QA_Tender[[#This Row],[Name]]), "Error!", IF(TBL_ADD_01_QA_Tender[[#This Row],[Name]]&lt;&gt;"", "", "Add")), "")</f>
        <v/>
      </c>
      <c r="B19" t="str">
        <f>IF(D18&lt;&gt;"", IF(TBL_ADD_01_QA_Tender[[#This Row],[Date Completed]]&lt;&gt;"", "", "Add"), "")</f>
        <v/>
      </c>
      <c r="C19" s="373" t="s">
        <v>434</v>
      </c>
      <c r="D19" s="373"/>
      <c r="E19" s="373"/>
      <c r="F19" s="373"/>
    </row>
  </sheetData>
  <sheetProtection algorithmName="SHA-512" hashValue="lzw5YL0YP2a9Is/1zoYLl9x0BggMzeDWC9X0Vhzk5wZJg4ZJtlCtEatR82yl51fuG4bsMu5iNn/8wpDi4rGVqQ==" saltValue="OsASSYEBj0aJ4vk0TltQWA==" spinCount="100000" sheet="1" objects="1" scenarios="1"/>
  <protectedRanges>
    <protectedRange sqref="D4:F19" name="Data"/>
  </protectedRanges>
  <conditionalFormatting sqref="C1:F1048576">
    <cfRule type="expression" dxfId="159" priority="3">
      <formula>INDIRECT("A"&amp;ROW())="Shade"</formula>
    </cfRule>
  </conditionalFormatting>
  <conditionalFormatting sqref="D1:D1048576">
    <cfRule type="expression" dxfId="158" priority="2">
      <formula>INDIRECT("A"&amp;ROW())="Add"</formula>
    </cfRule>
    <cfRule type="expression" dxfId="157" priority="4">
      <formula>INDIRECT("A"&amp;ROW())="Error!"</formula>
    </cfRule>
  </conditionalFormatting>
  <conditionalFormatting sqref="E1:E1048576">
    <cfRule type="expression" dxfId="156" priority="1">
      <formula>INDIRECT("B"&amp;ROW())="Add"</formula>
    </cfRule>
  </conditionalFormatting>
  <dataValidations count="1">
    <dataValidation type="list" allowBlank="1" showInputMessage="1" showErrorMessage="1" sqref="D4:D19" xr:uid="{D8D53578-EED4-4ED8-B34C-34FA9AD265C6}">
      <formula1>LUp_Names</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W204"/>
  <sheetViews>
    <sheetView zoomScaleNormal="100" workbookViewId="0">
      <pane xSplit="10" ySplit="3" topLeftCell="K4" activePane="bottomRight" state="frozen"/>
      <selection activeCell="H1" sqref="H1"/>
      <selection pane="topRight" activeCell="K1" sqref="K1"/>
      <selection pane="bottomLeft" activeCell="H4" sqref="H4"/>
      <selection pane="bottomRight" activeCell="P1" sqref="A1:P1048576"/>
    </sheetView>
  </sheetViews>
  <sheetFormatPr defaultColWidth="9.08984375" defaultRowHeight="12.5"/>
  <cols>
    <col min="1" max="1" width="7.36328125" style="367" hidden="1" customWidth="1"/>
    <col min="2" max="3" width="10.6328125" style="367" hidden="1" customWidth="1"/>
    <col min="4" max="4" width="18.6328125" style="367" hidden="1" customWidth="1"/>
    <col min="5" max="5" width="13.6328125" style="367" hidden="1" customWidth="1"/>
    <col min="6" max="6" width="9.08984375" style="367" hidden="1" customWidth="1"/>
    <col min="7" max="7" width="18.36328125" style="367" hidden="1" customWidth="1"/>
    <col min="8" max="8" width="5.6328125" style="367" hidden="1" customWidth="1"/>
    <col min="9" max="9" width="6" style="367" hidden="1" customWidth="1"/>
    <col min="10" max="10" width="48.6328125" style="70" hidden="1" customWidth="1"/>
    <col min="11" max="11" width="40" style="70" hidden="1" customWidth="1"/>
    <col min="12" max="12" width="44.36328125" style="70" hidden="1" customWidth="1"/>
    <col min="13" max="16" width="9.08984375" style="367" hidden="1" customWidth="1"/>
    <col min="17" max="23" width="9.08984375" style="367" customWidth="1"/>
    <col min="24" max="16384" width="9.08984375" style="367"/>
  </cols>
  <sheetData>
    <row r="1" spans="1:23" ht="17.5">
      <c r="H1" s="422" t="s">
        <v>2078</v>
      </c>
      <c r="N1" s="525" t="str">
        <f>IF(COUNTIF(TBL_ADD_02_Project_Info[R_Check], "Add")&gt;0, "Incomplete", "Complete")</f>
        <v>Incomplete</v>
      </c>
    </row>
    <row r="3" spans="1:23" ht="13">
      <c r="A3" s="365" t="s">
        <v>330</v>
      </c>
      <c r="B3" s="366" t="s">
        <v>1909</v>
      </c>
      <c r="C3" s="366" t="s">
        <v>1910</v>
      </c>
      <c r="D3" s="365" t="s">
        <v>1935</v>
      </c>
      <c r="E3" s="403" t="s">
        <v>1936</v>
      </c>
      <c r="F3" s="403" t="s">
        <v>1972</v>
      </c>
      <c r="G3" s="403" t="s">
        <v>90</v>
      </c>
      <c r="H3" s="403" t="s">
        <v>345</v>
      </c>
      <c r="I3" s="365" t="s">
        <v>2018</v>
      </c>
      <c r="J3" s="362" t="s">
        <v>18</v>
      </c>
      <c r="K3" s="363" t="s">
        <v>19</v>
      </c>
      <c r="L3" s="364" t="s">
        <v>105</v>
      </c>
    </row>
    <row r="4" spans="1:23" ht="13">
      <c r="A4" s="361" t="s">
        <v>1882</v>
      </c>
      <c r="B4" s="361" t="str">
        <f>IF(OR(TBL_ADD_02_Project_Info[[#This Row],[Type]]="Heading", TBL_ADD_02_Project_Info[[#This Row],[Y/N]]="No"), "", IF(TBL_ADD_02_Project_Info[[#This Row],[Response]]&lt;&gt;"", "", "Add"))</f>
        <v/>
      </c>
      <c r="C4" s="369"/>
      <c r="D4" s="361" t="s">
        <v>24</v>
      </c>
      <c r="E4" s="361" t="s">
        <v>24</v>
      </c>
      <c r="F4" s="361" t="s">
        <v>24</v>
      </c>
      <c r="G4" s="361" t="s">
        <v>24</v>
      </c>
      <c r="H4" s="361" t="s">
        <v>1800</v>
      </c>
      <c r="I4" s="248" t="s">
        <v>467</v>
      </c>
      <c r="J4" s="248" t="s">
        <v>106</v>
      </c>
      <c r="K4" s="248"/>
      <c r="L4" s="248"/>
    </row>
    <row r="5" spans="1:23">
      <c r="A5" s="361" t="s">
        <v>24</v>
      </c>
      <c r="B5" s="361" t="str">
        <f>IF(OR(TBL_ADD_02_Project_Info[[#This Row],[Type]]="Heading", TBL_ADD_02_Project_Info[[#This Row],[Y/N]]="No"), "", IF(TBL_ADD_02_Project_Info[[#This Row],[Response]]&lt;&gt;"", "", "Add"))</f>
        <v>Add</v>
      </c>
      <c r="C5" s="361" t="s">
        <v>88</v>
      </c>
      <c r="D5" s="361" t="s">
        <v>24</v>
      </c>
      <c r="E5" s="361" t="s">
        <v>24</v>
      </c>
      <c r="F5" s="361" t="s">
        <v>24</v>
      </c>
      <c r="G5" s="361" t="s">
        <v>53</v>
      </c>
      <c r="H5" s="361" t="s">
        <v>1800</v>
      </c>
      <c r="I5" s="248" t="s">
        <v>467</v>
      </c>
      <c r="J5" s="248" t="s">
        <v>52</v>
      </c>
      <c r="K5" s="248"/>
      <c r="L5" s="248"/>
    </row>
    <row r="6" spans="1:23" s="70" customFormat="1">
      <c r="A6" s="361" t="s">
        <v>24</v>
      </c>
      <c r="B6" s="361" t="str">
        <f>IF(OR(TBL_ADD_02_Project_Info[[#This Row],[Type]]="Heading", TBL_ADD_02_Project_Info[[#This Row],[Y/N]]="No"), "", IF(TBL_ADD_02_Project_Info[[#This Row],[Response]]&lt;&gt;"", "", "Add"))</f>
        <v/>
      </c>
      <c r="C6" s="361" t="s">
        <v>88</v>
      </c>
      <c r="D6" s="361" t="s">
        <v>24</v>
      </c>
      <c r="E6" s="361" t="s">
        <v>24</v>
      </c>
      <c r="F6" s="361" t="s">
        <v>24</v>
      </c>
      <c r="G6" s="361" t="s">
        <v>87</v>
      </c>
      <c r="H6" s="361" t="s">
        <v>1800</v>
      </c>
      <c r="I6" s="248" t="s">
        <v>467</v>
      </c>
      <c r="J6" s="248" t="s">
        <v>117</v>
      </c>
      <c r="K6" s="248" t="s">
        <v>408</v>
      </c>
      <c r="L6" s="248" t="str">
        <f>IF(TBL_ADD_02_Project_Info[[#This Row],[Response]]&lt;&gt;"", CONCATENATE(LEFT(TBL_ADD_02_Project_Info[[#This Row],[Response]], 1), LEFT(SUBSTITUTE(TBL_ADD_02_Project_Info[[#This Row],[Response]], LEFT(TBL_ADD_02_Project_Info[[#This Row],[Response]],FIND(" ",TBL_ADD_02_Project_Info[[#This Row],[Response]],1)), ""), 1)), "")</f>
        <v>JW</v>
      </c>
      <c r="N6" s="367"/>
      <c r="O6" s="367"/>
    </row>
    <row r="7" spans="1:23" s="70" customFormat="1" ht="25">
      <c r="A7" s="361" t="s">
        <v>24</v>
      </c>
      <c r="B7" s="361" t="str">
        <f>IF(OR(TBL_ADD_02_Project_Info[[#This Row],[Type]]="Heading", TBL_ADD_02_Project_Info[[#This Row],[Y/N]]="No"), "", IF(TBL_ADD_02_Project_Info[[#This Row],[Response]]&lt;&gt;"", "", "Add"))</f>
        <v/>
      </c>
      <c r="C7" s="361" t="s">
        <v>88</v>
      </c>
      <c r="D7" s="361" t="s">
        <v>24</v>
      </c>
      <c r="E7" s="361" t="s">
        <v>24</v>
      </c>
      <c r="F7" s="361" t="s">
        <v>24</v>
      </c>
      <c r="G7" s="373" t="s">
        <v>20</v>
      </c>
      <c r="H7" s="361" t="s">
        <v>1800</v>
      </c>
      <c r="I7" s="248" t="s">
        <v>467</v>
      </c>
      <c r="J7" s="248" t="s">
        <v>0</v>
      </c>
      <c r="K7" s="248" t="s">
        <v>2281</v>
      </c>
      <c r="L7" s="248"/>
      <c r="N7" s="367"/>
      <c r="O7" s="367"/>
    </row>
    <row r="8" spans="1:23" s="70" customFormat="1" ht="25">
      <c r="A8" s="361" t="s">
        <v>24</v>
      </c>
      <c r="B8" s="361" t="str">
        <f>IF(OR(TBL_ADD_02_Project_Info[[#This Row],[Type]]="Heading", TBL_ADD_02_Project_Info[[#This Row],[Y/N]]="No"), "", IF(TBL_ADD_02_Project_Info[[#This Row],[Response]]&lt;&gt;"", "", "Add"))</f>
        <v/>
      </c>
      <c r="C8" s="361" t="s">
        <v>88</v>
      </c>
      <c r="D8" s="361" t="s">
        <v>24</v>
      </c>
      <c r="E8" s="361" t="s">
        <v>24</v>
      </c>
      <c r="F8" s="361" t="s">
        <v>24</v>
      </c>
      <c r="G8" s="373" t="s">
        <v>91</v>
      </c>
      <c r="H8" s="361" t="s">
        <v>1800</v>
      </c>
      <c r="I8" s="248" t="s">
        <v>467</v>
      </c>
      <c r="J8" s="248" t="s">
        <v>122</v>
      </c>
      <c r="K8" s="248" t="s">
        <v>2280</v>
      </c>
      <c r="L8" s="248"/>
      <c r="N8" s="367"/>
      <c r="O8" s="367"/>
    </row>
    <row r="9" spans="1:23" s="70" customFormat="1">
      <c r="A9" s="361" t="s">
        <v>24</v>
      </c>
      <c r="B9" s="361" t="str">
        <f>IF(OR(TBL_ADD_02_Project_Info[[#This Row],[Type]]="Heading", TBL_ADD_02_Project_Info[[#This Row],[Y/N]]="No"), "", IF(TBL_ADD_02_Project_Info[[#This Row],[Response]]&lt;&gt;"", "", "Add"))</f>
        <v/>
      </c>
      <c r="C9" s="361" t="s">
        <v>88</v>
      </c>
      <c r="D9" s="361" t="s">
        <v>24</v>
      </c>
      <c r="E9" s="361" t="s">
        <v>24</v>
      </c>
      <c r="F9" s="361" t="s">
        <v>24</v>
      </c>
      <c r="G9" s="361" t="s">
        <v>29</v>
      </c>
      <c r="H9" s="361" t="s">
        <v>1800</v>
      </c>
      <c r="I9" s="248" t="s">
        <v>467</v>
      </c>
      <c r="J9" s="248" t="s">
        <v>7</v>
      </c>
      <c r="K9" s="248" t="s">
        <v>2239</v>
      </c>
      <c r="L9" s="248"/>
      <c r="N9" s="367"/>
      <c r="O9" s="367"/>
    </row>
    <row r="10" spans="1:23" s="70" customFormat="1">
      <c r="A10" s="361" t="s">
        <v>24</v>
      </c>
      <c r="B10" s="361" t="str">
        <f>IF(OR(TBL_ADD_02_Project_Info[[#This Row],[Type]]="Heading", TBL_ADD_02_Project_Info[[#This Row],[Y/N]]="No"), "", IF(TBL_ADD_02_Project_Info[[#This Row],[Response]]&lt;&gt;"", "", "Add"))</f>
        <v/>
      </c>
      <c r="C10" s="361" t="s">
        <v>88</v>
      </c>
      <c r="D10" s="361" t="s">
        <v>24</v>
      </c>
      <c r="E10" s="361" t="s">
        <v>24</v>
      </c>
      <c r="F10" s="361" t="s">
        <v>24</v>
      </c>
      <c r="G10" s="361" t="s">
        <v>30</v>
      </c>
      <c r="H10" s="361" t="s">
        <v>1800</v>
      </c>
      <c r="I10" s="248" t="s">
        <v>467</v>
      </c>
      <c r="J10" s="248" t="s">
        <v>9</v>
      </c>
      <c r="K10" s="248" t="s">
        <v>2240</v>
      </c>
      <c r="L10" s="248"/>
      <c r="N10" s="367"/>
      <c r="O10" s="367"/>
    </row>
    <row r="11" spans="1:23" s="70" customFormat="1" ht="25">
      <c r="A11" s="361" t="s">
        <v>24</v>
      </c>
      <c r="B11" s="361" t="str">
        <f>IF(OR(TBL_ADD_02_Project_Info[[#This Row],[Type]]="Heading", TBL_ADD_02_Project_Info[[#This Row],[Y/N]]="No"), "", IF(TBL_ADD_02_Project_Info[[#This Row],[Response]]&lt;&gt;"", "", "Add"))</f>
        <v/>
      </c>
      <c r="C11" s="361" t="s">
        <v>88</v>
      </c>
      <c r="D11" s="361" t="s">
        <v>24</v>
      </c>
      <c r="E11" s="361" t="s">
        <v>24</v>
      </c>
      <c r="F11" s="361" t="s">
        <v>24</v>
      </c>
      <c r="G11" s="361" t="s">
        <v>509</v>
      </c>
      <c r="H11" s="361" t="s">
        <v>1800</v>
      </c>
      <c r="I11" s="248" t="s">
        <v>467</v>
      </c>
      <c r="J11" s="248" t="s">
        <v>8</v>
      </c>
      <c r="K11" s="248" t="s">
        <v>2241</v>
      </c>
      <c r="L11" s="248"/>
      <c r="N11" s="367"/>
      <c r="O11" s="367"/>
      <c r="P11" s="367"/>
      <c r="Q11" s="367"/>
      <c r="R11" s="367"/>
      <c r="S11" s="367"/>
      <c r="T11" s="367"/>
      <c r="U11" s="367"/>
      <c r="V11" s="367"/>
      <c r="W11" s="367"/>
    </row>
    <row r="12" spans="1:23" s="70" customFormat="1" ht="37.5">
      <c r="A12" s="361" t="s">
        <v>24</v>
      </c>
      <c r="B12" s="361" t="str">
        <f>IF(OR(TBL_ADD_02_Project_Info[[#This Row],[Type]]="Heading", TBL_ADD_02_Project_Info[[#This Row],[Y/N]]="No"), "", IF(TBL_ADD_02_Project_Info[[#This Row],[Response]]&lt;&gt;"", "", "Add"))</f>
        <v/>
      </c>
      <c r="C12" s="361" t="s">
        <v>88</v>
      </c>
      <c r="D12" s="361" t="s">
        <v>24</v>
      </c>
      <c r="E12" s="361" t="s">
        <v>24</v>
      </c>
      <c r="F12" s="361" t="s">
        <v>24</v>
      </c>
      <c r="G12" s="361" t="s">
        <v>2177</v>
      </c>
      <c r="H12" s="361" t="s">
        <v>1800</v>
      </c>
      <c r="I12" s="248" t="s">
        <v>467</v>
      </c>
      <c r="J12" s="248" t="s">
        <v>6</v>
      </c>
      <c r="K12" s="248" t="s">
        <v>2242</v>
      </c>
      <c r="L12" s="248"/>
      <c r="N12" s="367"/>
      <c r="O12" s="367"/>
      <c r="P12" s="367"/>
      <c r="Q12" s="367"/>
      <c r="R12" s="367"/>
      <c r="S12" s="367"/>
      <c r="T12" s="367"/>
      <c r="U12" s="367"/>
      <c r="V12" s="367"/>
      <c r="W12" s="367"/>
    </row>
    <row r="13" spans="1:23" s="70" customFormat="1" ht="13">
      <c r="A13" s="361" t="s">
        <v>1882</v>
      </c>
      <c r="B13" s="361" t="str">
        <f>IF(OR(TBL_ADD_02_Project_Info[[#This Row],[Type]]="Heading", TBL_ADD_02_Project_Info[[#This Row],[Y/N]]="No"), "", IF(TBL_ADD_02_Project_Info[[#This Row],[Response]]&lt;&gt;"", "", "Add"))</f>
        <v/>
      </c>
      <c r="C13" s="361"/>
      <c r="D13" s="361" t="s">
        <v>24</v>
      </c>
      <c r="E13" s="361" t="s">
        <v>24</v>
      </c>
      <c r="F13" s="361" t="s">
        <v>24</v>
      </c>
      <c r="G13" s="361" t="s">
        <v>24</v>
      </c>
      <c r="H13" s="361" t="s">
        <v>1800</v>
      </c>
      <c r="I13" s="248" t="s">
        <v>467</v>
      </c>
      <c r="J13" s="248" t="s">
        <v>1939</v>
      </c>
      <c r="K13" s="248"/>
      <c r="L13" s="248"/>
      <c r="N13" s="367"/>
      <c r="O13" s="367"/>
      <c r="P13" s="367"/>
      <c r="Q13" s="367"/>
      <c r="R13" s="367"/>
      <c r="S13" s="367"/>
      <c r="T13" s="367"/>
      <c r="U13" s="367"/>
      <c r="V13" s="367"/>
      <c r="W13" s="367"/>
    </row>
    <row r="14" spans="1:23" s="70" customFormat="1">
      <c r="A14" s="361" t="s">
        <v>24</v>
      </c>
      <c r="B14" s="361" t="str">
        <f>IF(OR(TBL_ADD_02_Project_Info[[#This Row],[Type]]="Heading", TBL_ADD_02_Project_Info[[#This Row],[Y/N]]="No"), "", IF(TBL_ADD_02_Project_Info[[#This Row],[Response]]&lt;&gt;"", "", "Add"))</f>
        <v/>
      </c>
      <c r="C14" s="405" t="str">
        <f>IF(TBL_ADD_02_Project_Info[[#This Row],[Comments]]&lt;&gt;"", "Error!", "Shade")</f>
        <v>Shade</v>
      </c>
      <c r="D14" s="361" t="str">
        <f>LookUp!$R$1</f>
        <v>LUp_Procedure</v>
      </c>
      <c r="E14" s="361" t="s">
        <v>24</v>
      </c>
      <c r="F14" s="361" t="s">
        <v>24</v>
      </c>
      <c r="G14" s="361" t="s">
        <v>142</v>
      </c>
      <c r="H14" s="361" t="s">
        <v>1800</v>
      </c>
      <c r="I14" s="248" t="s">
        <v>467</v>
      </c>
      <c r="J14" s="248" t="s">
        <v>141</v>
      </c>
      <c r="K14" s="248" t="s">
        <v>1293</v>
      </c>
      <c r="L14" s="248" t="str">
        <f>IF(K18="SA", IF(TBL_ADD_02_Project_Info[[#This Row],[Response]]="Open Procedure", "", "Error - Must be single stage process"), "")</f>
        <v/>
      </c>
      <c r="N14" s="367"/>
      <c r="O14" s="367"/>
      <c r="P14" s="367"/>
      <c r="Q14" s="367"/>
      <c r="R14" s="367"/>
      <c r="S14" s="367"/>
      <c r="T14" s="367"/>
      <c r="U14" s="367"/>
      <c r="V14" s="367"/>
      <c r="W14" s="367"/>
    </row>
    <row r="15" spans="1:23" s="70" customFormat="1" ht="25">
      <c r="A15" s="361" t="s">
        <v>24</v>
      </c>
      <c r="B15" s="361" t="str">
        <f>IF(OR(TBL_ADD_02_Project_Info[[#This Row],[Type]]="Heading", TBL_ADD_02_Project_Info[[#This Row],[Y/N]]="No"), "", IF(TBL_ADD_02_Project_Info[[#This Row],[Response]]&lt;&gt;"", "", "Add"))</f>
        <v/>
      </c>
      <c r="C15" s="361" t="str">
        <f>IF(TBL_ADD_02_Project_Info[[#This Row],[Comments]]&lt;&gt;"", "Note", "Shade")</f>
        <v>Note</v>
      </c>
      <c r="D15" s="361" t="str">
        <f>LookUp!$AE$1</f>
        <v>LUp_W_S_S</v>
      </c>
      <c r="E15" s="361" t="s">
        <v>24</v>
      </c>
      <c r="F15" s="361" t="s">
        <v>24</v>
      </c>
      <c r="G15" s="361" t="s">
        <v>2178</v>
      </c>
      <c r="H15" s="361" t="s">
        <v>1800</v>
      </c>
      <c r="I15" s="248" t="s">
        <v>467</v>
      </c>
      <c r="J15" s="248" t="s">
        <v>2</v>
      </c>
      <c r="K15" s="248" t="s">
        <v>1287</v>
      </c>
      <c r="L15" s="248" t="s">
        <v>2238</v>
      </c>
      <c r="N15" s="367"/>
      <c r="O15" s="367"/>
      <c r="P15" s="367"/>
      <c r="Q15" s="367"/>
      <c r="R15" s="367"/>
      <c r="S15" s="367"/>
      <c r="T15" s="367"/>
      <c r="U15" s="367"/>
      <c r="V15" s="367"/>
      <c r="W15" s="367"/>
    </row>
    <row r="16" spans="1:23" s="70" customFormat="1">
      <c r="A16" s="361" t="s">
        <v>24</v>
      </c>
      <c r="B16" s="361" t="str">
        <f>IF(OR(TBL_ADD_02_Project_Info[[#This Row],[Type]]="Heading", TBL_ADD_02_Project_Info[[#This Row],[Y/N]]="No"), "", IF(TBL_ADD_02_Project_Info[[#This Row],[Response]]&lt;&gt;"", "", "Add"))</f>
        <v/>
      </c>
      <c r="C16" s="405" t="str">
        <f>IF(TBL_ADD_02_Project_Info[[#This Row],[Comments]]&lt;&gt;"", "Note", "Shade")</f>
        <v>Shade</v>
      </c>
      <c r="D16" s="361" t="str">
        <f>IF(K15&lt;&gt;"", "LUp_"&amp;K15, LookUp!$AF$1)</f>
        <v>LUp_works</v>
      </c>
      <c r="E16" s="361" t="s">
        <v>24</v>
      </c>
      <c r="F16" s="361" t="s">
        <v>24</v>
      </c>
      <c r="G16" s="361" t="s">
        <v>2179</v>
      </c>
      <c r="H16" s="361" t="s">
        <v>1800</v>
      </c>
      <c r="I16" s="248" t="s">
        <v>467</v>
      </c>
      <c r="J16" s="248" t="s">
        <v>1291</v>
      </c>
      <c r="K16" s="248" t="s">
        <v>2214</v>
      </c>
      <c r="L16" s="248" t="str">
        <f>IF(TBL_ADD_02_Project_Info[[#This Row],[Response]]="Less than £25K", "Note:  No need to advertsie on Contracts Finder", "")</f>
        <v/>
      </c>
      <c r="N16" s="367"/>
      <c r="O16" s="367"/>
      <c r="P16" s="367"/>
      <c r="Q16" s="367"/>
      <c r="R16" s="367"/>
      <c r="S16" s="367"/>
      <c r="T16" s="367"/>
      <c r="U16" s="367"/>
      <c r="V16" s="367"/>
      <c r="W16" s="367"/>
    </row>
    <row r="17" spans="1:23" s="70" customFormat="1">
      <c r="A17" s="361" t="s">
        <v>24</v>
      </c>
      <c r="B17" s="361" t="str">
        <f>IF(OR(TBL_ADD_02_Project_Info[[#This Row],[Type]]="Heading", TBL_ADD_02_Project_Info[[#This Row],[Y/N]]="No"), "", IF(TBL_ADD_02_Project_Info[[#This Row],[Response]]&lt;&gt;"", "", "Add"))</f>
        <v/>
      </c>
      <c r="C17" s="405" t="str">
        <f>IF(TBL_ADD_02_Project_Info[[#This Row],[Comments]]&lt;&gt;"", "Error!", "Shade")</f>
        <v>Shade</v>
      </c>
      <c r="D17" s="361" t="str">
        <f>IF(OR($K$16=LookUp!$V$4, $K$16=LookUp!$AF$5), LookUp!$AG$1, LookUp!$D$1)</f>
        <v>LUp_Yes</v>
      </c>
      <c r="E17" s="361" t="s">
        <v>24</v>
      </c>
      <c r="F17" s="361" t="s">
        <v>24</v>
      </c>
      <c r="G17" s="361" t="s">
        <v>2125</v>
      </c>
      <c r="H17" s="361" t="s">
        <v>1800</v>
      </c>
      <c r="I17" s="248" t="s">
        <v>467</v>
      </c>
      <c r="J17" s="248" t="s">
        <v>127</v>
      </c>
      <c r="K17" s="248" t="s">
        <v>467</v>
      </c>
      <c r="L17" s="248" t="str">
        <f>IF(OR(AND(K15="works", K16="Greater than £4.5M", TBL_ADD_02_Project_Info[[#This Row],[Response]]="No (closed list)"), AND(OR(K15="services", K15="supplies"), K16="Greater than £181K", TBL_ADD_02_Project_Info[[#This Row],[Response]]="No (closed list)")), "Error must be advertsied", "")</f>
        <v/>
      </c>
      <c r="N17" s="367"/>
      <c r="O17" s="367"/>
      <c r="P17" s="367"/>
      <c r="Q17" s="367"/>
      <c r="R17" s="367"/>
      <c r="S17" s="367"/>
      <c r="T17" s="367"/>
      <c r="U17" s="367"/>
      <c r="V17" s="367"/>
      <c r="W17" s="367"/>
    </row>
    <row r="18" spans="1:23" s="70" customFormat="1">
      <c r="A18" s="361" t="s">
        <v>24</v>
      </c>
      <c r="B18" s="361" t="str">
        <f>IF(OR(TBL_ADD_02_Project_Info[[#This Row],[Type]]="Heading", TBL_ADD_02_Project_Info[[#This Row],[Y/N]]="No"), "", IF(TBL_ADD_02_Project_Info[[#This Row],[Response]]&lt;&gt;"", "", "Add"))</f>
        <v/>
      </c>
      <c r="C18" s="405" t="str">
        <f>IF(TBL_ADD_02_Project_Info[[#This Row],[Comments]]&lt;&gt;"", "Note", "Shade")</f>
        <v>Shade</v>
      </c>
      <c r="D18" s="248" t="str">
        <f>IF(OR($K$16=LookUp!$AF$2, $K$16=LookUp!$AF$3), LookUp!$W$1, IF('Project Info'!$K$15="works", LookUp!$X$1, LookUp!$Y$1))</f>
        <v>LUp_SQ_List_2</v>
      </c>
      <c r="E18" s="361" t="s">
        <v>24</v>
      </c>
      <c r="F18" s="361" t="s">
        <v>24</v>
      </c>
      <c r="G18" s="361" t="s">
        <v>2180</v>
      </c>
      <c r="H18" s="361" t="s">
        <v>1800</v>
      </c>
      <c r="I18" s="248" t="s">
        <v>467</v>
      </c>
      <c r="J18" s="248" t="s">
        <v>1943</v>
      </c>
      <c r="K18" s="248" t="s">
        <v>1285</v>
      </c>
      <c r="L18" s="248" t="str">
        <f>IF($K$20="MyTenders", "Check we are authorised to publish!", "")</f>
        <v/>
      </c>
      <c r="N18" s="367"/>
      <c r="O18" s="367"/>
      <c r="P18" s="367"/>
      <c r="Q18" s="367"/>
      <c r="R18" s="367"/>
      <c r="S18" s="367"/>
      <c r="T18" s="367"/>
      <c r="U18" s="367"/>
      <c r="V18" s="367"/>
      <c r="W18" s="367"/>
    </row>
    <row r="19" spans="1:23" s="70" customFormat="1">
      <c r="A19" s="361" t="s">
        <v>24</v>
      </c>
      <c r="B19" s="361" t="str">
        <f>IF(OR(TBL_ADD_02_Project_Info[[#This Row],[Type]]="Heading", TBL_ADD_02_Project_Info[[#This Row],[Y/N]]="No"), "", IF(TBL_ADD_02_Project_Info[[#This Row],[Response]]&lt;&gt;"", "", "Add"))</f>
        <v/>
      </c>
      <c r="C19" s="361" t="s">
        <v>88</v>
      </c>
      <c r="D19" s="248" t="str">
        <f>LookUp!$AH$1</f>
        <v>LUp_YesNo</v>
      </c>
      <c r="E19" s="248" t="s">
        <v>24</v>
      </c>
      <c r="F19" s="361" t="s">
        <v>24</v>
      </c>
      <c r="G19" s="361" t="s">
        <v>2149</v>
      </c>
      <c r="H19" s="361" t="s">
        <v>1800</v>
      </c>
      <c r="I19" s="248" t="s">
        <v>467</v>
      </c>
      <c r="J19" s="248" t="s">
        <v>2150</v>
      </c>
      <c r="K19" s="248" t="s">
        <v>320</v>
      </c>
      <c r="L19" s="248"/>
      <c r="N19" s="367"/>
      <c r="O19" s="367"/>
      <c r="P19" s="367"/>
      <c r="Q19" s="367"/>
      <c r="R19" s="367"/>
      <c r="S19" s="367"/>
      <c r="T19" s="367"/>
      <c r="U19" s="367"/>
      <c r="V19" s="367"/>
      <c r="W19" s="367"/>
    </row>
    <row r="20" spans="1:23" s="70" customFormat="1">
      <c r="A20" s="361" t="s">
        <v>24</v>
      </c>
      <c r="B20" s="361" t="str">
        <f>IF(OR(TBL_ADD_02_Project_Info[[#This Row],[Type]]="Heading", TBL_ADD_02_Project_Info[[#This Row],[Y/N]]="No"), "", IF(TBL_ADD_02_Project_Info[[#This Row],[Response]]&lt;&gt;"", "", "Add"))</f>
        <v/>
      </c>
      <c r="C20" s="405" t="str">
        <f>IF(TBL_ADD_02_Project_Info[[#This Row],[Response]]="Other (please state in comments)", IF(TBL_ADD_02_Project_Info[[#This Row],[Comments]]&lt;&gt;"", "", "Add"), "Shade")</f>
        <v/>
      </c>
      <c r="D20" s="361" t="str">
        <f>LookUp!$Q$1</f>
        <v>LUp_Portal_Name</v>
      </c>
      <c r="E20" s="361" t="s">
        <v>24</v>
      </c>
      <c r="F20" s="361" t="s">
        <v>24</v>
      </c>
      <c r="G20" s="361" t="s">
        <v>441</v>
      </c>
      <c r="H20" s="361" t="s">
        <v>1800</v>
      </c>
      <c r="I20" s="248" t="s">
        <v>467</v>
      </c>
      <c r="J20" s="248" t="s">
        <v>435</v>
      </c>
      <c r="K20" s="248" t="s">
        <v>1971</v>
      </c>
      <c r="L20" s="248" t="s">
        <v>2243</v>
      </c>
      <c r="N20" s="367"/>
      <c r="O20" s="367"/>
      <c r="P20" s="367"/>
      <c r="Q20" s="367"/>
      <c r="R20" s="367"/>
      <c r="S20" s="367"/>
      <c r="T20" s="367"/>
      <c r="U20" s="367"/>
      <c r="V20" s="367"/>
      <c r="W20" s="367"/>
    </row>
    <row r="21" spans="1:23" s="70" customFormat="1" ht="13">
      <c r="A21" s="361" t="s">
        <v>1882</v>
      </c>
      <c r="B21" s="361" t="str">
        <f>IF(OR(TBL_ADD_02_Project_Info[[#This Row],[Type]]="Heading", TBL_ADD_02_Project_Info[[#This Row],[Y/N]]="No"), "", IF(TBL_ADD_02_Project_Info[[#This Row],[Response]]&lt;&gt;"", "", "Add"))</f>
        <v/>
      </c>
      <c r="C21" s="361"/>
      <c r="D21" s="248" t="s">
        <v>24</v>
      </c>
      <c r="E21" s="361" t="s">
        <v>24</v>
      </c>
      <c r="F21" s="361" t="s">
        <v>24</v>
      </c>
      <c r="G21" s="361" t="s">
        <v>24</v>
      </c>
      <c r="H21" s="361" t="s">
        <v>1800</v>
      </c>
      <c r="I21" s="248" t="s">
        <v>467</v>
      </c>
      <c r="J21" s="361" t="s">
        <v>318</v>
      </c>
      <c r="K21" s="248"/>
      <c r="L21" s="248"/>
      <c r="N21" s="367"/>
      <c r="O21" s="367"/>
      <c r="P21" s="367"/>
      <c r="Q21" s="367"/>
      <c r="R21" s="367"/>
      <c r="S21" s="367"/>
      <c r="T21" s="367"/>
      <c r="U21" s="367"/>
      <c r="V21" s="367"/>
      <c r="W21" s="367"/>
    </row>
    <row r="22" spans="1:23" s="70" customFormat="1">
      <c r="A22" s="361" t="s">
        <v>24</v>
      </c>
      <c r="B22" s="361" t="str">
        <f>IF(OR(TBL_ADD_02_Project_Info[[#This Row],[Type]]="Heading", TBL_ADD_02_Project_Info[[#This Row],[Y/N]]="No"), "", IF(TBL_ADD_02_Project_Info[[#This Row],[Response]]&lt;&gt;"", "", "Add"))</f>
        <v/>
      </c>
      <c r="C22" s="361" t="s">
        <v>88</v>
      </c>
      <c r="D22" s="248" t="str">
        <f>LookUp!$AH$1</f>
        <v>LUp_YesNo</v>
      </c>
      <c r="E22" s="361" t="s">
        <v>24</v>
      </c>
      <c r="F22" s="361" t="s">
        <v>24</v>
      </c>
      <c r="G22" s="361" t="s">
        <v>2124</v>
      </c>
      <c r="H22" s="361" t="s">
        <v>1800</v>
      </c>
      <c r="I22" s="248" t="s">
        <v>467</v>
      </c>
      <c r="J22" s="248" t="s">
        <v>476</v>
      </c>
      <c r="K22" s="248" t="s">
        <v>320</v>
      </c>
      <c r="L22" s="248"/>
      <c r="N22" s="367"/>
      <c r="O22" s="367"/>
      <c r="P22" s="367"/>
      <c r="Q22" s="367"/>
      <c r="R22" s="367"/>
      <c r="S22" s="367"/>
      <c r="T22" s="367"/>
      <c r="U22" s="367"/>
      <c r="V22" s="367"/>
      <c r="W22" s="367"/>
    </row>
    <row r="23" spans="1:23" s="70" customFormat="1">
      <c r="A23" s="361" t="s">
        <v>24</v>
      </c>
      <c r="B23" s="361" t="str">
        <f>IF(OR(TBL_ADD_02_Project_Info[[#This Row],[Type]]="Heading", TBL_ADD_02_Project_Info[[#This Row],[Y/N]]="No"), "", IF(TBL_ADD_02_Project_Info[[#This Row],[Response]]&lt;&gt;"", "", "Add"))</f>
        <v/>
      </c>
      <c r="C23" s="405" t="str">
        <f>IF(TBL_ADD_02_Project_Info[[#This Row],[Comments]]&lt;&gt;"", "Note", "Shade")</f>
        <v>Shade</v>
      </c>
      <c r="D23" s="248">
        <v>2</v>
      </c>
      <c r="E23" s="361" t="s">
        <v>24</v>
      </c>
      <c r="F23" s="361" t="s">
        <v>24</v>
      </c>
      <c r="G23" s="361" t="s">
        <v>2181</v>
      </c>
      <c r="H23" s="361" t="s">
        <v>1800</v>
      </c>
      <c r="I23" s="248" t="str">
        <f>IF(REF_Lotted="No", "No", "Yes")</f>
        <v>No</v>
      </c>
      <c r="J23" s="248" t="s">
        <v>107</v>
      </c>
      <c r="K23" s="248"/>
      <c r="L23" s="248" t="str">
        <f>IF(REF_No_Lots="N/A", "", IF(AND(REF_No_Lots&lt;&gt;"", REF_No_Lots&gt;5), "Please ask Jen for help on adding lot(s) after Lot 5", ""))</f>
        <v/>
      </c>
      <c r="N23" s="367"/>
      <c r="O23" s="367"/>
      <c r="P23" s="367"/>
      <c r="Q23" s="367"/>
      <c r="R23" s="367"/>
      <c r="S23" s="367"/>
      <c r="T23" s="367"/>
      <c r="U23" s="367"/>
      <c r="V23" s="367"/>
      <c r="W23" s="367"/>
    </row>
    <row r="24" spans="1:23" s="70" customFormat="1" ht="13">
      <c r="A24" s="361" t="s">
        <v>1882</v>
      </c>
      <c r="B24" s="361" t="str">
        <f>IF(OR(TBL_ADD_02_Project_Info[[#This Row],[Type]]="Heading", TBL_ADD_02_Project_Info[[#This Row],[Y/N]]="No"), "", IF(TBL_ADD_02_Project_Info[[#This Row],[Response]]&lt;&gt;"", "", "Add"))</f>
        <v/>
      </c>
      <c r="C24" s="361"/>
      <c r="D24" s="361" t="s">
        <v>24</v>
      </c>
      <c r="E24" s="248" t="s">
        <v>24</v>
      </c>
      <c r="F24" s="361" t="s">
        <v>24</v>
      </c>
      <c r="G24" s="361" t="s">
        <v>24</v>
      </c>
      <c r="H24" s="361" t="s">
        <v>1800</v>
      </c>
      <c r="I24" s="248" t="s">
        <v>467</v>
      </c>
      <c r="J24" s="248" t="s">
        <v>1940</v>
      </c>
      <c r="K24" s="248"/>
      <c r="L24" s="248"/>
      <c r="N24" s="367"/>
      <c r="O24" s="367"/>
      <c r="P24" s="367"/>
      <c r="Q24" s="367"/>
      <c r="R24" s="367"/>
      <c r="S24" s="367"/>
      <c r="T24" s="367"/>
      <c r="U24" s="367"/>
      <c r="V24" s="367"/>
      <c r="W24" s="367"/>
    </row>
    <row r="25" spans="1:23" s="70" customFormat="1">
      <c r="A25" s="361" t="s">
        <v>24</v>
      </c>
      <c r="B25" s="361" t="str">
        <f>IF(OR(TBL_ADD_02_Project_Info[[#This Row],[Type]]="Heading", TBL_ADD_02_Project_Info[[#This Row],[Y/N]]="No"), "", IF(TBL_ADD_02_Project_Info[[#This Row],[Response]]&lt;&gt;"", "", "Add"))</f>
        <v/>
      </c>
      <c r="C25" s="361" t="str">
        <f>IF(TBL_ADD_02_Project_Info[[#This Row],[Comments]]&lt;&gt;"", "Note", "Shade")</f>
        <v>Shade</v>
      </c>
      <c r="D25" s="361" t="str">
        <f>IF(REF_Lotted="Yes", LookUp!$M$1, "All")</f>
        <v>All</v>
      </c>
      <c r="E25" s="361" t="s">
        <v>24</v>
      </c>
      <c r="F25" s="361" t="s">
        <v>24</v>
      </c>
      <c r="G25" s="361" t="s">
        <v>2182</v>
      </c>
      <c r="H25" s="361" t="s">
        <v>1800</v>
      </c>
      <c r="I25" s="248" t="str">
        <f>IF(REF_Lotted="No", "No", "Yes")</f>
        <v>No</v>
      </c>
      <c r="J25" s="248" t="s">
        <v>1841</v>
      </c>
      <c r="K25" s="248" t="str">
        <f>IF(REF_Lotted="No", "All", "")</f>
        <v>All</v>
      </c>
      <c r="L25" s="248"/>
      <c r="N25" s="367"/>
      <c r="O25" s="367"/>
      <c r="P25" s="367"/>
      <c r="Q25" s="367"/>
      <c r="R25" s="367"/>
      <c r="S25" s="367"/>
      <c r="T25" s="367"/>
      <c r="U25" s="367"/>
      <c r="V25" s="367"/>
      <c r="W25" s="367"/>
    </row>
    <row r="26" spans="1:23" s="70" customFormat="1">
      <c r="A26" s="361" t="s">
        <v>24</v>
      </c>
      <c r="B26" s="361" t="str">
        <f>IF(OR(TBL_ADD_02_Project_Info[[#This Row],[Type]]="Heading", TBL_ADD_02_Project_Info[[#This Row],[Y/N]]="No"), "", IF(TBL_ADD_02_Project_Info[[#This Row],[Response]]&lt;&gt;"", "", "Add"))</f>
        <v/>
      </c>
      <c r="C26" s="361" t="s">
        <v>88</v>
      </c>
      <c r="D26" s="361" t="s">
        <v>24</v>
      </c>
      <c r="E26" s="248" t="s">
        <v>24</v>
      </c>
      <c r="F26" s="361" t="s">
        <v>24</v>
      </c>
      <c r="G26" s="361" t="s">
        <v>86</v>
      </c>
      <c r="H26" s="361" t="s">
        <v>1800</v>
      </c>
      <c r="I26" s="248" t="s">
        <v>467</v>
      </c>
      <c r="J26" s="248" t="s">
        <v>85</v>
      </c>
      <c r="K26" s="248" t="s">
        <v>408</v>
      </c>
      <c r="L26" s="248" t="str">
        <f>IF(TBL_ADD_02_Project_Info[[#This Row],[Response]]&lt;&gt;"", CONCATENATE(LEFT(TBL_ADD_02_Project_Info[[#This Row],[Response]], 1), LEFT(SUBSTITUTE(TBL_ADD_02_Project_Info[[#This Row],[Response]], LEFT(TBL_ADD_02_Project_Info[[#This Row],[Response]],FIND(" ",TBL_ADD_02_Project_Info[[#This Row],[Response]],1)), ""), 1)), "")</f>
        <v>JW</v>
      </c>
      <c r="N26" s="367"/>
      <c r="O26" s="367"/>
      <c r="P26" s="367"/>
      <c r="Q26" s="367"/>
      <c r="R26" s="367"/>
      <c r="S26" s="367"/>
      <c r="T26" s="367"/>
      <c r="U26" s="367"/>
      <c r="V26" s="367"/>
      <c r="W26" s="367"/>
    </row>
    <row r="27" spans="1:23" s="70" customFormat="1">
      <c r="A27" s="361" t="s">
        <v>24</v>
      </c>
      <c r="B27" s="361" t="str">
        <f>IF(OR(TBL_ADD_02_Project_Info[[#This Row],[Type]]="Heading", TBL_ADD_02_Project_Info[[#This Row],[Y/N]]="No"), "", IF(TBL_ADD_02_Project_Info[[#This Row],[Response]]&lt;&gt;"", "", "Add"))</f>
        <v/>
      </c>
      <c r="C27" s="361" t="s">
        <v>88</v>
      </c>
      <c r="D27" s="361" t="str">
        <f>LookUp!$A$35</f>
        <v>LUp_Offices</v>
      </c>
      <c r="E27" s="248" t="s">
        <v>24</v>
      </c>
      <c r="F27" s="361" t="s">
        <v>24</v>
      </c>
      <c r="G27" s="361" t="s">
        <v>2051</v>
      </c>
      <c r="H27" s="361" t="s">
        <v>1800</v>
      </c>
      <c r="I27" s="248" t="s">
        <v>467</v>
      </c>
      <c r="J27" s="248" t="s">
        <v>530</v>
      </c>
      <c r="K27" s="248" t="s">
        <v>520</v>
      </c>
      <c r="L27" s="248"/>
      <c r="N27" s="367"/>
      <c r="O27" s="367"/>
      <c r="P27" s="367"/>
      <c r="Q27" s="367"/>
      <c r="R27" s="367"/>
      <c r="S27" s="367"/>
      <c r="T27" s="367"/>
      <c r="U27" s="367"/>
      <c r="V27" s="367"/>
      <c r="W27" s="367"/>
    </row>
    <row r="28" spans="1:23" s="70" customFormat="1">
      <c r="A28" s="361" t="s">
        <v>24</v>
      </c>
      <c r="B28" s="361" t="str">
        <f>IF(OR(TBL_ADD_02_Project_Info[[#This Row],[Type]]="Heading", TBL_ADD_02_Project_Info[[#This Row],[Y/N]]="No"), "", IF(TBL_ADD_02_Project_Info[[#This Row],[Response]]&lt;&gt;"", "", "Add"))</f>
        <v/>
      </c>
      <c r="C28" s="361" t="s">
        <v>88</v>
      </c>
      <c r="D28" s="361" t="str">
        <f>IF(K14="Open Procedure", LookUp!$AA$1, IF(K14="Restricted Procedure", LookUp!$U$1, LookUp!$H$1))</f>
        <v>LUp_Tender</v>
      </c>
      <c r="E28" s="248" t="s">
        <v>24</v>
      </c>
      <c r="F28" s="361" t="s">
        <v>24</v>
      </c>
      <c r="G28" s="361" t="s">
        <v>448</v>
      </c>
      <c r="H28" s="361" t="s">
        <v>1800</v>
      </c>
      <c r="I28" s="248" t="s">
        <v>467</v>
      </c>
      <c r="J28" s="248" t="s">
        <v>547</v>
      </c>
      <c r="K28" s="248" t="s">
        <v>545</v>
      </c>
      <c r="L28" s="248"/>
      <c r="N28" s="367"/>
      <c r="O28" s="367"/>
      <c r="P28" s="367"/>
      <c r="Q28" s="367"/>
      <c r="R28" s="367"/>
      <c r="S28" s="367"/>
      <c r="T28" s="367"/>
      <c r="U28" s="367"/>
      <c r="V28" s="367"/>
      <c r="W28" s="367"/>
    </row>
    <row r="29" spans="1:23" s="70" customFormat="1">
      <c r="A29" s="361" t="s">
        <v>24</v>
      </c>
      <c r="B29" s="361" t="str">
        <f>IF(OR(TBL_ADD_02_Project_Info[[#This Row],[Type]]="Heading", TBL_ADD_02_Project_Info[[#This Row],[Y/N]]="No"), "", IF(TBL_ADD_02_Project_Info[[#This Row],[Response]]&lt;&gt;"", "", "Add"))</f>
        <v/>
      </c>
      <c r="C29" s="361" t="s">
        <v>88</v>
      </c>
      <c r="D29" s="361" t="str">
        <f>LookUp!$AB$1</f>
        <v>LUp_TenderType</v>
      </c>
      <c r="E29" s="248" t="s">
        <v>24</v>
      </c>
      <c r="F29" s="361" t="s">
        <v>24</v>
      </c>
      <c r="G29" s="361" t="s">
        <v>460</v>
      </c>
      <c r="H29" s="361" t="s">
        <v>1800</v>
      </c>
      <c r="I29" s="248" t="str">
        <f>IF(OR($K$14="Open Procedure", $K$28="SQ"), "No", "Yes")</f>
        <v>No</v>
      </c>
      <c r="J29" s="248" t="s">
        <v>1795</v>
      </c>
      <c r="K29" s="248"/>
      <c r="L29" s="248"/>
      <c r="N29" s="367"/>
      <c r="O29" s="367"/>
      <c r="P29" s="367"/>
      <c r="Q29" s="367"/>
      <c r="R29" s="367"/>
      <c r="S29" s="367"/>
      <c r="T29" s="367"/>
      <c r="U29" s="367"/>
      <c r="V29" s="367"/>
      <c r="W29" s="367"/>
    </row>
    <row r="30" spans="1:23" s="70" customFormat="1">
      <c r="A30" s="361" t="s">
        <v>24</v>
      </c>
      <c r="B30" s="361" t="str">
        <f>IF(OR(TBL_ADD_02_Project_Info[[#This Row],[Type]]="Heading", TBL_ADD_02_Project_Info[[#This Row],[Y/N]]="No"), "", IF(TBL_ADD_02_Project_Info[[#This Row],[Response]]&lt;&gt;"", "", "Add"))</f>
        <v/>
      </c>
      <c r="C30" s="361" t="s">
        <v>88</v>
      </c>
      <c r="D30" s="361" t="s">
        <v>24</v>
      </c>
      <c r="E30" s="361" t="s">
        <v>24</v>
      </c>
      <c r="F30" s="361" t="s">
        <v>24</v>
      </c>
      <c r="G30" s="361" t="s">
        <v>2096</v>
      </c>
      <c r="H30" s="361" t="s">
        <v>1800</v>
      </c>
      <c r="I30" s="248" t="str">
        <f>IF(OR($K$14=LookUp!$R$2, 'Project Info'!$K$28=LookUp!$U$2), "No", "Yes")</f>
        <v>No</v>
      </c>
      <c r="J30" s="248" t="s">
        <v>2151</v>
      </c>
      <c r="K30" s="248"/>
      <c r="L30" s="248"/>
      <c r="N30" s="367"/>
      <c r="O30" s="367"/>
      <c r="P30" s="367"/>
      <c r="Q30" s="367"/>
      <c r="R30" s="367"/>
      <c r="S30" s="367"/>
      <c r="T30" s="367"/>
      <c r="U30" s="367"/>
      <c r="V30" s="367"/>
      <c r="W30" s="367"/>
    </row>
    <row r="31" spans="1:23" s="70" customFormat="1" ht="13">
      <c r="A31" s="361" t="s">
        <v>1882</v>
      </c>
      <c r="B31" s="361" t="str">
        <f>IF(OR(TBL_ADD_02_Project_Info[[#This Row],[Type]]="Heading", TBL_ADD_02_Project_Info[[#This Row],[Y/N]]="No"), "", IF(TBL_ADD_02_Project_Info[[#This Row],[Response]]&lt;&gt;"", "", "Add"))</f>
        <v/>
      </c>
      <c r="C31" s="361"/>
      <c r="D31" s="361" t="s">
        <v>24</v>
      </c>
      <c r="E31" s="361" t="s">
        <v>24</v>
      </c>
      <c r="F31" s="361" t="s">
        <v>24</v>
      </c>
      <c r="G31" s="361" t="s">
        <v>24</v>
      </c>
      <c r="H31" s="361" t="s">
        <v>1800</v>
      </c>
      <c r="I31" s="248" t="s">
        <v>467</v>
      </c>
      <c r="J31" s="248" t="s">
        <v>112</v>
      </c>
      <c r="K31" s="248"/>
      <c r="L31" s="248"/>
      <c r="N31" s="367"/>
      <c r="O31" s="367"/>
      <c r="P31" s="367"/>
      <c r="Q31" s="367"/>
      <c r="R31" s="367"/>
      <c r="S31" s="367"/>
      <c r="T31" s="367"/>
      <c r="U31" s="367"/>
      <c r="V31" s="367"/>
      <c r="W31" s="367"/>
    </row>
    <row r="32" spans="1:23" s="70" customFormat="1">
      <c r="A32" s="361" t="s">
        <v>24</v>
      </c>
      <c r="B32" s="361" t="str">
        <f>IF(OR(TBL_ADD_02_Project_Info[[#This Row],[Type]]="Heading", TBL_ADD_02_Project_Info[[#This Row],[Y/N]]="No"), "", IF(TBL_ADD_02_Project_Info[[#This Row],[Response]]&lt;&gt;"", "", "Add"))</f>
        <v/>
      </c>
      <c r="C32" s="361" t="s">
        <v>88</v>
      </c>
      <c r="D32" s="248" t="str">
        <f>LookUp!$S$1</f>
        <v>LUp_PropType</v>
      </c>
      <c r="E32" s="361" t="s">
        <v>24</v>
      </c>
      <c r="F32" s="361" t="s">
        <v>24</v>
      </c>
      <c r="G32" s="373" t="s">
        <v>1985</v>
      </c>
      <c r="H32" s="361" t="s">
        <v>1800</v>
      </c>
      <c r="I32" s="248" t="s">
        <v>467</v>
      </c>
      <c r="J32" s="248" t="s">
        <v>1842</v>
      </c>
      <c r="K32" s="248" t="s">
        <v>1843</v>
      </c>
      <c r="L32" s="248"/>
      <c r="N32" s="367"/>
      <c r="O32" s="367"/>
      <c r="P32" s="367"/>
      <c r="Q32" s="367"/>
      <c r="R32" s="367"/>
      <c r="S32" s="367"/>
      <c r="T32" s="367"/>
      <c r="U32" s="367"/>
      <c r="V32" s="367"/>
      <c r="W32" s="367"/>
    </row>
    <row r="33" spans="1:23" s="70" customFormat="1">
      <c r="A33" s="361" t="s">
        <v>24</v>
      </c>
      <c r="B33" s="361" t="str">
        <f>IF(OR(TBL_ADD_02_Project_Info[[#This Row],[Type]]="Heading", TBL_ADD_02_Project_Info[[#This Row],[Y/N]]="No"), "", IF(TBL_ADD_02_Project_Info[[#This Row],[Response]]&lt;&gt;"", "", "Add"))</f>
        <v/>
      </c>
      <c r="C33" s="361" t="s">
        <v>88</v>
      </c>
      <c r="D33" s="248">
        <v>0</v>
      </c>
      <c r="E33" s="361" t="s">
        <v>24</v>
      </c>
      <c r="F33" s="361" t="s">
        <v>1973</v>
      </c>
      <c r="G33" s="373" t="s">
        <v>1987</v>
      </c>
      <c r="H33" s="361" t="s">
        <v>1800</v>
      </c>
      <c r="I33" s="248" t="s">
        <v>467</v>
      </c>
      <c r="J33" s="248" t="str">
        <f>CONCATENATE("Total number of ", IF($K$32&lt;&gt;"", $K$32, "properties")," owned")</f>
        <v>Total number of properties owned</v>
      </c>
      <c r="K33" s="420">
        <v>20500</v>
      </c>
      <c r="L33" s="248"/>
      <c r="N33" s="367"/>
      <c r="O33" s="367"/>
      <c r="P33" s="367"/>
      <c r="Q33" s="367"/>
      <c r="R33" s="367"/>
      <c r="S33" s="367"/>
      <c r="T33" s="367"/>
      <c r="U33" s="367"/>
      <c r="V33" s="367"/>
      <c r="W33" s="367"/>
    </row>
    <row r="34" spans="1:23" s="70" customFormat="1">
      <c r="A34" s="361" t="s">
        <v>24</v>
      </c>
      <c r="B34" s="361" t="str">
        <f>IF(OR(TBL_ADD_02_Project_Info[[#This Row],[Type]]="Heading", TBL_ADD_02_Project_Info[[#This Row],[Y/N]]="No"), "", IF(TBL_ADD_02_Project_Info[[#This Row],[Response]]&lt;&gt;"", "", "Add"))</f>
        <v/>
      </c>
      <c r="C34" s="361" t="s">
        <v>88</v>
      </c>
      <c r="D34" s="248" t="str">
        <f>LookUp!$E$1</f>
        <v>LUp_Approx</v>
      </c>
      <c r="E34" s="361" t="s">
        <v>24</v>
      </c>
      <c r="F34" s="361" t="s">
        <v>24</v>
      </c>
      <c r="G34" s="373" t="s">
        <v>1986</v>
      </c>
      <c r="H34" s="361" t="s">
        <v>1800</v>
      </c>
      <c r="I34" s="248" t="s">
        <v>467</v>
      </c>
      <c r="J34" s="248" t="s">
        <v>109</v>
      </c>
      <c r="K34" s="248" t="s">
        <v>1947</v>
      </c>
      <c r="L34" s="248"/>
      <c r="N34" s="367"/>
      <c r="O34" s="367"/>
      <c r="P34" s="367"/>
      <c r="Q34" s="367"/>
      <c r="R34" s="367"/>
      <c r="S34" s="367"/>
      <c r="T34" s="367"/>
      <c r="U34" s="367"/>
      <c r="V34" s="367"/>
      <c r="W34" s="367"/>
    </row>
    <row r="35" spans="1:23" s="70" customFormat="1">
      <c r="A35" s="361" t="s">
        <v>24</v>
      </c>
      <c r="B35" s="361" t="str">
        <f>IF(OR(TBL_ADD_02_Project_Info[[#This Row],[Type]]="Heading", TBL_ADD_02_Project_Info[[#This Row],[Y/N]]="No"), "", IF(TBL_ADD_02_Project_Info[[#This Row],[Response]]&lt;&gt;"", "", "Add"))</f>
        <v/>
      </c>
      <c r="C35" s="361" t="s">
        <v>88</v>
      </c>
      <c r="D35" s="248" t="str">
        <f>LookUp!$AH$1</f>
        <v>LUp_YesNo</v>
      </c>
      <c r="E35" s="361" t="s">
        <v>24</v>
      </c>
      <c r="F35" s="361" t="s">
        <v>24</v>
      </c>
      <c r="G35" s="361" t="s">
        <v>15</v>
      </c>
      <c r="H35" s="361" t="s">
        <v>1800</v>
      </c>
      <c r="I35" s="248" t="s">
        <v>467</v>
      </c>
      <c r="J35" s="248" t="s">
        <v>110</v>
      </c>
      <c r="K35" s="248" t="s">
        <v>467</v>
      </c>
      <c r="L35" s="248"/>
      <c r="N35" s="367"/>
      <c r="O35" s="367"/>
      <c r="P35" s="367"/>
      <c r="Q35" s="367"/>
      <c r="R35" s="367"/>
      <c r="S35" s="367"/>
      <c r="T35" s="367"/>
      <c r="U35" s="367"/>
      <c r="V35" s="367"/>
      <c r="W35" s="367"/>
    </row>
    <row r="36" spans="1:23" s="70" customFormat="1" ht="13">
      <c r="A36" s="361" t="s">
        <v>1882</v>
      </c>
      <c r="B36" s="361" t="str">
        <f>IF(OR(TBL_ADD_02_Project_Info[[#This Row],[Type]]="Heading", TBL_ADD_02_Project_Info[[#This Row],[Y/N]]="No"), "", IF(TBL_ADD_02_Project_Info[[#This Row],[Response]]&lt;&gt;"", "", "Add"))</f>
        <v/>
      </c>
      <c r="C36" s="361"/>
      <c r="D36" s="361" t="s">
        <v>24</v>
      </c>
      <c r="E36" s="361" t="s">
        <v>24</v>
      </c>
      <c r="F36" s="361" t="s">
        <v>24</v>
      </c>
      <c r="G36" s="361" t="s">
        <v>24</v>
      </c>
      <c r="H36" s="361" t="s">
        <v>1800</v>
      </c>
      <c r="I36" s="248" t="s">
        <v>467</v>
      </c>
      <c r="J36" s="248" t="s">
        <v>113</v>
      </c>
      <c r="K36" s="248"/>
      <c r="L36" s="248"/>
      <c r="N36" s="367"/>
      <c r="O36" s="367"/>
      <c r="P36" s="367"/>
      <c r="Q36" s="367"/>
      <c r="R36" s="367"/>
      <c r="S36" s="367"/>
      <c r="T36" s="367"/>
      <c r="U36" s="367"/>
      <c r="V36" s="367"/>
      <c r="W36" s="367"/>
    </row>
    <row r="37" spans="1:23" s="70" customFormat="1">
      <c r="A37" s="361" t="s">
        <v>24</v>
      </c>
      <c r="B37" s="361" t="str">
        <f>IF(OR(TBL_ADD_02_Project_Info[[#This Row],[Type]]="Heading", TBL_ADD_02_Project_Info[[#This Row],[Y/N]]="No"), "", IF(TBL_ADD_02_Project_Info[[#This Row],[Response]]&lt;&gt;"", "", "Add"))</f>
        <v/>
      </c>
      <c r="C37" s="361" t="s">
        <v>88</v>
      </c>
      <c r="D37" s="361" t="str">
        <f>LookUp!$J$1</f>
        <v>LUp_Contract_type</v>
      </c>
      <c r="E37" s="361" t="s">
        <v>24</v>
      </c>
      <c r="F37" s="361" t="s">
        <v>24</v>
      </c>
      <c r="G37" s="361" t="s">
        <v>2183</v>
      </c>
      <c r="H37" s="361" t="s">
        <v>1800</v>
      </c>
      <c r="I37" s="248" t="s">
        <v>467</v>
      </c>
      <c r="J37" s="248" t="s">
        <v>65</v>
      </c>
      <c r="K37" s="248" t="s">
        <v>66</v>
      </c>
      <c r="L37" s="248"/>
      <c r="N37" s="367"/>
      <c r="O37" s="367"/>
      <c r="P37" s="367"/>
      <c r="Q37" s="367"/>
      <c r="R37" s="367"/>
      <c r="S37" s="367"/>
      <c r="T37" s="367"/>
      <c r="U37" s="367"/>
      <c r="V37" s="367"/>
      <c r="W37" s="367"/>
    </row>
    <row r="38" spans="1:23" s="70" customFormat="1">
      <c r="A38" s="361" t="s">
        <v>24</v>
      </c>
      <c r="B38" s="361" t="str">
        <f>IF(OR(TBL_ADD_02_Project_Info[[#This Row],[Type]]="Heading", TBL_ADD_02_Project_Info[[#This Row],[Y/N]]="No"), "", IF(TBL_ADD_02_Project_Info[[#This Row],[Response]]&lt;&gt;"", "", "Add"))</f>
        <v/>
      </c>
      <c r="C38" s="405" t="str">
        <f>IF(TBL_ADD_02_Project_Info[[#This Row],[Response]]="Other (please state in comments)", IF(TBL_ADD_02_Project_Info[[#This Row],[Comments]]&lt;&gt;"", "", "Add"), "Shade")</f>
        <v>Shade</v>
      </c>
      <c r="D38" s="361" t="str">
        <f>LookUp!$I$1</f>
        <v>LUp_Contract_List</v>
      </c>
      <c r="E38" s="361" t="s">
        <v>24</v>
      </c>
      <c r="F38" s="361" t="s">
        <v>24</v>
      </c>
      <c r="G38" s="361" t="s">
        <v>2184</v>
      </c>
      <c r="H38" s="361" t="s">
        <v>1800</v>
      </c>
      <c r="I38" s="248" t="s">
        <v>467</v>
      </c>
      <c r="J38" s="248" t="s">
        <v>108</v>
      </c>
      <c r="K38" s="248" t="s">
        <v>76</v>
      </c>
      <c r="L38" s="248" t="str">
        <f>IF($K$38="Other (please provide info)", "NOTE: info will need to be provided in the documents", "")</f>
        <v/>
      </c>
      <c r="N38" s="367"/>
      <c r="O38" s="367"/>
      <c r="P38" s="367"/>
      <c r="Q38" s="367"/>
      <c r="R38" s="367"/>
      <c r="S38" s="367"/>
      <c r="T38" s="367"/>
      <c r="U38" s="367"/>
      <c r="V38" s="367"/>
      <c r="W38" s="367"/>
    </row>
    <row r="39" spans="1:23" s="70" customFormat="1" ht="25">
      <c r="A39" s="361" t="s">
        <v>24</v>
      </c>
      <c r="B39" s="361" t="str">
        <f>IF(OR(TBL_ADD_02_Project_Info[[#This Row],[Type]]="Heading", TBL_ADD_02_Project_Info[[#This Row],[Y/N]]="No"), "", IF(TBL_ADD_02_Project_Info[[#This Row],[Response]]&lt;&gt;"", "", "Add"))</f>
        <v/>
      </c>
      <c r="C39" s="361" t="s">
        <v>88</v>
      </c>
      <c r="D39" s="361" t="str">
        <f>IF(K38&lt;&gt;"", "LUp_"&amp;K38, LookUp!$J$14)</f>
        <v>LUp_JCT</v>
      </c>
      <c r="E39" s="361" t="s">
        <v>24</v>
      </c>
      <c r="F39" s="361" t="s">
        <v>24</v>
      </c>
      <c r="G39" s="361" t="s">
        <v>2185</v>
      </c>
      <c r="H39" s="361" t="s">
        <v>1800</v>
      </c>
      <c r="I39" s="248" t="str">
        <f>IF($K$38="Other (please provide info)", "No", "Yes")</f>
        <v>Yes</v>
      </c>
      <c r="J39" s="248" t="s">
        <v>1</v>
      </c>
      <c r="K39" s="248" t="s">
        <v>253</v>
      </c>
      <c r="L39" s="248"/>
      <c r="N39" s="367"/>
      <c r="O39" s="367"/>
      <c r="P39" s="367"/>
      <c r="Q39" s="367"/>
      <c r="R39" s="367"/>
      <c r="S39" s="367"/>
      <c r="T39" s="367"/>
      <c r="U39" s="367"/>
      <c r="V39" s="367"/>
      <c r="W39" s="367"/>
    </row>
    <row r="40" spans="1:23" s="70" customFormat="1">
      <c r="A40" s="361" t="s">
        <v>24</v>
      </c>
      <c r="B40" s="361" t="str">
        <f>IF(OR(TBL_ADD_02_Project_Info[[#This Row],[Type]]="Heading", TBL_ADD_02_Project_Info[[#This Row],[Y/N]]="No"), "", IF(TBL_ADD_02_Project_Info[[#This Row],[Response]]&lt;&gt;"", "", "Add"))</f>
        <v/>
      </c>
      <c r="C40" s="361" t="s">
        <v>88</v>
      </c>
      <c r="D40" s="361" t="str">
        <f>LookUp!$T$1</f>
        <v>LUp_ProviderType</v>
      </c>
      <c r="E40" s="361" t="s">
        <v>24</v>
      </c>
      <c r="F40" s="361" t="s">
        <v>24</v>
      </c>
      <c r="G40" s="361" t="s">
        <v>2186</v>
      </c>
      <c r="H40" s="361" t="s">
        <v>1800</v>
      </c>
      <c r="I40" s="248" t="s">
        <v>467</v>
      </c>
      <c r="J40" s="248" t="s">
        <v>1990</v>
      </c>
      <c r="K40" s="248" t="str">
        <f>IF(OR($K$39=LookUp!$J$15, $K$39=LookUp!$J$18), LookUp!$T$2, IF(OR($K$39=LookUp!$J$17, $K$39=LookUp!$J$16), LookUp!$T$4, IF($K$15="Services", LookUp!$T$5, LookUp!$T$3)))</f>
        <v>Contractor</v>
      </c>
      <c r="L40" s="248" t="str">
        <f>IF($K$57=1, TBL_ADD_02_Project_Info[[#This Row],[Response]], CONCATENATE(TBL_ADD_02_Project_Info[[#This Row],[Response]], "(s)"))</f>
        <v>Contractor(s)</v>
      </c>
      <c r="N40" s="367"/>
      <c r="O40" s="367"/>
      <c r="P40" s="367"/>
      <c r="Q40" s="367"/>
      <c r="R40" s="367"/>
      <c r="S40" s="367"/>
      <c r="T40" s="367"/>
      <c r="U40" s="367"/>
      <c r="V40" s="367"/>
      <c r="W40" s="367"/>
    </row>
    <row r="41" spans="1:23" s="70" customFormat="1">
      <c r="A41" s="361" t="s">
        <v>24</v>
      </c>
      <c r="B41" s="361" t="str">
        <f>IF(OR(TBL_ADD_02_Project_Info[[#This Row],[Type]]="Heading", TBL_ADD_02_Project_Info[[#This Row],[Y/N]]="No"), "", IF(TBL_ADD_02_Project_Info[[#This Row],[Response]]&lt;&gt;"", "", "Add"))</f>
        <v/>
      </c>
      <c r="C41" s="361" t="s">
        <v>88</v>
      </c>
      <c r="D41" s="361" t="str">
        <f>LookUp!$F$1</f>
        <v>LUp_CAType</v>
      </c>
      <c r="E41" s="361" t="s">
        <v>24</v>
      </c>
      <c r="F41" s="361" t="s">
        <v>24</v>
      </c>
      <c r="G41" s="361" t="s">
        <v>2188</v>
      </c>
      <c r="H41" s="361" t="s">
        <v>1800</v>
      </c>
      <c r="I41" s="248" t="s">
        <v>467</v>
      </c>
      <c r="J41" s="248" t="s">
        <v>531</v>
      </c>
      <c r="K41" s="248" t="str">
        <f>IF(OR($K$39=LookUp!$J$15, $K$39=LookUp!$J$18), LookUp!$F$3, IF(OR($K$39=LookUp!$J$16, $K$39=LookUp!$J$17), LookUp!$F$4, LookUp!$F$2))</f>
        <v>Contract Administrator</v>
      </c>
      <c r="L41" s="248" t="str">
        <f>CONCATENATE(LEFT(TBL_ADD_02_Project_Info[[#This Row],[Response]], 1), LEFT(SUBSTITUTE(TBL_ADD_02_Project_Info[[#This Row],[Response]], LEFT(TBL_ADD_02_Project_Info[[#This Row],[Response]],FIND(" ",TBL_ADD_02_Project_Info[[#This Row],[Response]],1)), ""), 1))</f>
        <v>CA</v>
      </c>
      <c r="N41" s="367"/>
      <c r="O41" s="367"/>
      <c r="P41" s="367"/>
      <c r="Q41" s="367"/>
      <c r="R41" s="367"/>
      <c r="S41" s="367"/>
      <c r="T41" s="367"/>
      <c r="U41" s="367"/>
      <c r="V41" s="367"/>
      <c r="W41" s="367"/>
    </row>
    <row r="42" spans="1:23" s="70" customFormat="1">
      <c r="A42" s="361" t="s">
        <v>24</v>
      </c>
      <c r="B42" s="361" t="str">
        <f>IF(OR(TBL_ADD_02_Project_Info[[#This Row],[Type]]="Heading", TBL_ADD_02_Project_Info[[#This Row],[Y/N]]="No"), "", IF(TBL_ADD_02_Project_Info[[#This Row],[Response]]&lt;&gt;"", "", "Add"))</f>
        <v/>
      </c>
      <c r="C42" s="405" t="str">
        <f>IF(TBL_ADD_02_Project_Info[[#This Row],[Comments]]&lt;&gt;"", "Note", "Shade")</f>
        <v>Note</v>
      </c>
      <c r="D42" s="248" t="str">
        <f>LookUp!$AH$1</f>
        <v>LUp_YesNo</v>
      </c>
      <c r="E42" s="248" t="s">
        <v>24</v>
      </c>
      <c r="F42" s="361" t="s">
        <v>24</v>
      </c>
      <c r="G42" s="361" t="s">
        <v>2187</v>
      </c>
      <c r="H42" s="361" t="s">
        <v>1800</v>
      </c>
      <c r="I42" s="248" t="s">
        <v>467</v>
      </c>
      <c r="J42" s="248" t="s">
        <v>1328</v>
      </c>
      <c r="K42" s="248" t="s">
        <v>320</v>
      </c>
      <c r="L42" s="248" t="str">
        <f>IF(TBL_ADD_02_Project_Info[[#This Row],[Response]]="No", "Please remove Part 8", "")</f>
        <v>Please remove Part 8</v>
      </c>
      <c r="N42" s="367"/>
      <c r="O42" s="367"/>
      <c r="P42" s="367"/>
      <c r="Q42" s="367"/>
      <c r="R42" s="367"/>
      <c r="S42" s="367"/>
      <c r="T42" s="367"/>
      <c r="U42" s="367"/>
      <c r="V42" s="367"/>
      <c r="W42" s="367"/>
    </row>
    <row r="43" spans="1:23" s="70" customFormat="1">
      <c r="A43" s="361" t="s">
        <v>24</v>
      </c>
      <c r="B43" s="361" t="str">
        <f>IF(OR(TBL_ADD_02_Project_Info[[#This Row],[Type]]="Heading", TBL_ADD_02_Project_Info[[#This Row],[Y/N]]="No"), "", IF(TBL_ADD_02_Project_Info[[#This Row],[Response]]&lt;&gt;"", "", "Add"))</f>
        <v/>
      </c>
      <c r="C43" s="405" t="str">
        <f>IF(TBL_ADD_02_Project_Info[[#This Row],[Comments]]&lt;&gt;"", "Note", "Shade")</f>
        <v>Note</v>
      </c>
      <c r="D43" s="248" t="str">
        <f>LookUp!$AH$1</f>
        <v>LUp_YesNo</v>
      </c>
      <c r="E43" s="248" t="s">
        <v>24</v>
      </c>
      <c r="F43" s="361" t="s">
        <v>24</v>
      </c>
      <c r="G43" s="361" t="s">
        <v>2189</v>
      </c>
      <c r="H43" s="361" t="s">
        <v>1800</v>
      </c>
      <c r="I43" s="248" t="s">
        <v>467</v>
      </c>
      <c r="J43" s="248" t="s">
        <v>115</v>
      </c>
      <c r="K43" s="248" t="s">
        <v>320</v>
      </c>
      <c r="L43" s="248" t="str">
        <f>IF(OR(K44="No", TBL_ADD_02_Project_Info[[#This Row],[Response]]="No"), "Please remove Part 9", "")</f>
        <v>Please remove Part 9</v>
      </c>
      <c r="N43" s="367"/>
      <c r="O43" s="367"/>
      <c r="P43" s="367"/>
      <c r="Q43" s="367"/>
      <c r="R43" s="367"/>
      <c r="S43" s="367"/>
      <c r="T43" s="367"/>
      <c r="U43" s="367"/>
      <c r="V43" s="367"/>
      <c r="W43" s="367"/>
    </row>
    <row r="44" spans="1:23" s="70" customFormat="1">
      <c r="A44" s="361" t="s">
        <v>24</v>
      </c>
      <c r="B44" s="361" t="str">
        <f>IF(OR(TBL_ADD_02_Project_Info[[#This Row],[Type]]="Heading", TBL_ADD_02_Project_Info[[#This Row],[Y/N]]="No"), "", IF(TBL_ADD_02_Project_Info[[#This Row],[Response]]&lt;&gt;"", "", "Add"))</f>
        <v/>
      </c>
      <c r="C44" s="248" t="s">
        <v>88</v>
      </c>
      <c r="D44" s="248" t="str">
        <f>LookUp!$AH$1</f>
        <v>LUp_YesNo</v>
      </c>
      <c r="E44" s="248" t="s">
        <v>24</v>
      </c>
      <c r="F44" s="361" t="s">
        <v>24</v>
      </c>
      <c r="G44" s="361" t="s">
        <v>2190</v>
      </c>
      <c r="H44" s="361" t="s">
        <v>1800</v>
      </c>
      <c r="I44" s="248" t="str">
        <f>IF($K$43="No", "No", "Yes")</f>
        <v>No</v>
      </c>
      <c r="J44" s="248" t="s">
        <v>116</v>
      </c>
      <c r="K44" s="248"/>
      <c r="L44" s="248"/>
      <c r="N44" s="367"/>
      <c r="O44" s="367"/>
      <c r="P44" s="367"/>
      <c r="Q44" s="367"/>
      <c r="R44" s="367"/>
      <c r="S44" s="367"/>
      <c r="T44" s="367"/>
      <c r="U44" s="367"/>
      <c r="V44" s="367"/>
      <c r="W44" s="367"/>
    </row>
    <row r="45" spans="1:23" s="70" customFormat="1">
      <c r="A45" s="361" t="s">
        <v>24</v>
      </c>
      <c r="B45" s="361" t="str">
        <f>IF(OR(TBL_ADD_02_Project_Info[[#This Row],[Type]]="Heading", TBL_ADD_02_Project_Info[[#This Row],[Y/N]]="No"), "", IF(TBL_ADD_02_Project_Info[[#This Row],[Response]]&lt;&gt;"", "", "Add"))</f>
        <v/>
      </c>
      <c r="C45" s="361" t="s">
        <v>88</v>
      </c>
      <c r="D45" s="248" t="str">
        <f>LookUp!$AH$1</f>
        <v>LUp_YesNo</v>
      </c>
      <c r="E45" s="361" t="s">
        <v>24</v>
      </c>
      <c r="F45" s="361" t="s">
        <v>24</v>
      </c>
      <c r="G45" s="361" t="s">
        <v>464</v>
      </c>
      <c r="H45" s="361" t="s">
        <v>1800</v>
      </c>
      <c r="I45" s="248" t="s">
        <v>467</v>
      </c>
      <c r="J45" s="248" t="s">
        <v>1989</v>
      </c>
      <c r="K45" s="248" t="s">
        <v>467</v>
      </c>
      <c r="L45" s="248"/>
      <c r="N45" s="367"/>
      <c r="O45" s="367"/>
      <c r="P45" s="367"/>
      <c r="Q45" s="367"/>
      <c r="R45" s="367"/>
      <c r="S45" s="367"/>
      <c r="T45" s="367"/>
      <c r="U45" s="367"/>
      <c r="V45" s="367"/>
      <c r="W45" s="367"/>
    </row>
    <row r="46" spans="1:23" s="70" customFormat="1">
      <c r="A46" s="361" t="s">
        <v>24</v>
      </c>
      <c r="B46" s="361" t="str">
        <f>IF(OR(TBL_ADD_02_Project_Info[[#This Row],[Type]]="Heading", TBL_ADD_02_Project_Info[[#This Row],[Y/N]]="No"), "", IF(TBL_ADD_02_Project_Info[[#This Row],[Response]]&lt;&gt;"", "", "Add"))</f>
        <v/>
      </c>
      <c r="C46" s="405" t="str">
        <f>IF(TBL_ADD_02_Project_Info[[#This Row],[Response]]="Other (please state in comments)", IF(TBL_ADD_02_Project_Info[[#This Row],[Comments]]&lt;&gt;"", "", "Add"), "Shade")</f>
        <v>Shade</v>
      </c>
      <c r="D46" s="361" t="str">
        <f>LookUp!$AC$1</f>
        <v>LUp_Uplift</v>
      </c>
      <c r="E46" s="361" t="s">
        <v>24</v>
      </c>
      <c r="F46" s="361" t="s">
        <v>24</v>
      </c>
      <c r="G46" s="361" t="s">
        <v>101</v>
      </c>
      <c r="H46" s="361" t="s">
        <v>1800</v>
      </c>
      <c r="I46" s="248" t="str">
        <f>IF($K$45="No", "No", "Yes")</f>
        <v>Yes</v>
      </c>
      <c r="J46" s="248" t="s">
        <v>114</v>
      </c>
      <c r="K46" s="248" t="s">
        <v>1966</v>
      </c>
      <c r="L46" s="248"/>
      <c r="N46" s="367"/>
      <c r="O46" s="367"/>
      <c r="P46" s="367"/>
      <c r="Q46" s="367"/>
      <c r="R46" s="367"/>
      <c r="S46" s="367"/>
      <c r="T46" s="367"/>
      <c r="U46" s="367"/>
      <c r="V46" s="367"/>
      <c r="W46" s="367"/>
    </row>
    <row r="47" spans="1:23" s="70" customFormat="1" ht="13">
      <c r="A47" s="361" t="s">
        <v>1882</v>
      </c>
      <c r="B47" s="361" t="str">
        <f>IF(OR(TBL_ADD_02_Project_Info[[#This Row],[Type]]="Heading", TBL_ADD_02_Project_Info[[#This Row],[Y/N]]="No"), "", IF(TBL_ADD_02_Project_Info[[#This Row],[Response]]&lt;&gt;"", "", "Add"))</f>
        <v/>
      </c>
      <c r="C47" s="361"/>
      <c r="D47" s="361" t="s">
        <v>24</v>
      </c>
      <c r="E47" s="361" t="s">
        <v>24</v>
      </c>
      <c r="F47" s="361" t="s">
        <v>24</v>
      </c>
      <c r="G47" s="361" t="s">
        <v>24</v>
      </c>
      <c r="H47" s="361" t="s">
        <v>1800</v>
      </c>
      <c r="I47" s="248" t="s">
        <v>467</v>
      </c>
      <c r="J47" s="248" t="s">
        <v>1959</v>
      </c>
      <c r="K47" s="248"/>
      <c r="L47" s="248"/>
      <c r="N47" s="367"/>
      <c r="O47" s="367"/>
      <c r="P47" s="367"/>
      <c r="Q47" s="367"/>
      <c r="R47" s="367"/>
      <c r="S47" s="367"/>
      <c r="T47" s="367"/>
      <c r="U47" s="367"/>
      <c r="V47" s="367"/>
      <c r="W47" s="367"/>
    </row>
    <row r="48" spans="1:23" s="70" customFormat="1">
      <c r="A48" s="361" t="s">
        <v>24</v>
      </c>
      <c r="B48" s="361" t="str">
        <f>IF(OR(TBL_ADD_02_Project_Info[[#This Row],[Type]]="Heading", TBL_ADD_02_Project_Info[[#This Row],[Y/N]]="No"), "", IF(TBL_ADD_02_Project_Info[[#This Row],[Response]]&lt;&gt;"", "", "Add"))</f>
        <v/>
      </c>
      <c r="C48" s="361" t="s">
        <v>88</v>
      </c>
      <c r="D48" s="361" t="str">
        <f>LookUp!$K$1</f>
        <v>LUp_DurUnit</v>
      </c>
      <c r="E48" s="361" t="s">
        <v>24</v>
      </c>
      <c r="F48" s="361" t="s">
        <v>24</v>
      </c>
      <c r="G48" s="361" t="s">
        <v>2191</v>
      </c>
      <c r="H48" s="361" t="s">
        <v>1800</v>
      </c>
      <c r="I48" s="248" t="s">
        <v>467</v>
      </c>
      <c r="J48" s="248" t="s">
        <v>124</v>
      </c>
      <c r="K48" s="248" t="s">
        <v>1963</v>
      </c>
      <c r="L48" s="248"/>
      <c r="N48" s="367"/>
      <c r="O48" s="367"/>
      <c r="P48" s="367"/>
      <c r="Q48" s="367"/>
      <c r="R48" s="367"/>
      <c r="S48" s="367"/>
      <c r="T48" s="367"/>
      <c r="U48" s="367"/>
      <c r="V48" s="367"/>
      <c r="W48" s="367"/>
    </row>
    <row r="49" spans="1:23" s="70" customFormat="1">
      <c r="A49" s="361" t="s">
        <v>24</v>
      </c>
      <c r="B49" s="361" t="str">
        <f>IF(OR(TBL_ADD_02_Project_Info[[#This Row],[Type]]="Heading", TBL_ADD_02_Project_Info[[#This Row],[Y/N]]="No"), "", IF(TBL_ADD_02_Project_Info[[#This Row],[Response]]&lt;&gt;"", "", "Add"))</f>
        <v/>
      </c>
      <c r="C49" s="361" t="s">
        <v>88</v>
      </c>
      <c r="D49" s="361">
        <v>0</v>
      </c>
      <c r="E49" s="361" t="s">
        <v>24</v>
      </c>
      <c r="F49" s="361" t="s">
        <v>1974</v>
      </c>
      <c r="G49" s="361" t="s">
        <v>2193</v>
      </c>
      <c r="H49" s="361" t="s">
        <v>1800</v>
      </c>
      <c r="I49" s="248" t="s">
        <v>467</v>
      </c>
      <c r="J49" s="248" t="s">
        <v>3</v>
      </c>
      <c r="K49" s="329">
        <v>4</v>
      </c>
      <c r="L49" s="248"/>
      <c r="N49" s="367"/>
      <c r="O49" s="367"/>
      <c r="P49" s="367"/>
      <c r="Q49" s="367"/>
      <c r="R49" s="367"/>
      <c r="S49" s="367"/>
      <c r="T49" s="367"/>
      <c r="U49" s="367"/>
      <c r="V49" s="367"/>
      <c r="W49" s="367"/>
    </row>
    <row r="50" spans="1:23" s="70" customFormat="1">
      <c r="A50" s="361" t="s">
        <v>24</v>
      </c>
      <c r="B50" s="361" t="str">
        <f>IF(OR(TBL_ADD_02_Project_Info[[#This Row],[Type]]="Heading", TBL_ADD_02_Project_Info[[#This Row],[Y/N]]="No"), "", IF(TBL_ADD_02_Project_Info[[#This Row],[Response]]&lt;&gt;"", "", "Add"))</f>
        <v/>
      </c>
      <c r="C50" s="361" t="s">
        <v>88</v>
      </c>
      <c r="D50" s="361">
        <f>K49</f>
        <v>4</v>
      </c>
      <c r="E50" s="361" t="s">
        <v>24</v>
      </c>
      <c r="F50" s="361" t="s">
        <v>1974</v>
      </c>
      <c r="G50" s="361" t="s">
        <v>2192</v>
      </c>
      <c r="H50" s="361" t="s">
        <v>1800</v>
      </c>
      <c r="I50" s="248" t="s">
        <v>467</v>
      </c>
      <c r="J50" s="248" t="s">
        <v>4</v>
      </c>
      <c r="K50" s="329">
        <v>7</v>
      </c>
      <c r="L50" s="248"/>
      <c r="N50" s="367"/>
      <c r="O50" s="367"/>
      <c r="P50" s="367"/>
      <c r="Q50" s="367"/>
      <c r="R50" s="367"/>
      <c r="S50" s="367"/>
      <c r="T50" s="367"/>
      <c r="U50" s="367"/>
      <c r="V50" s="367"/>
      <c r="W50" s="367"/>
    </row>
    <row r="51" spans="1:23" s="70" customFormat="1">
      <c r="A51" s="361" t="s">
        <v>24</v>
      </c>
      <c r="B51" s="361" t="str">
        <f>IF(OR(TBL_ADD_02_Project_Info[[#This Row],[Type]]="Heading", TBL_ADD_02_Project_Info[[#This Row],[Y/N]]="No"), "", IF(TBL_ADD_02_Project_Info[[#This Row],[Response]]&lt;&gt;"", "", "Add"))</f>
        <v/>
      </c>
      <c r="C51" s="405" t="str">
        <f>IF(TBL_ADD_02_Project_Info[[#This Row],[Comments]]&lt;&gt;"", "Note", "Shade")</f>
        <v>Shade</v>
      </c>
      <c r="D51" s="248" t="str">
        <f>LookUp!$AH$1</f>
        <v>LUp_YesNo</v>
      </c>
      <c r="E51" s="361" t="s">
        <v>24</v>
      </c>
      <c r="F51" s="361" t="s">
        <v>24</v>
      </c>
      <c r="G51" s="361" t="s">
        <v>2194</v>
      </c>
      <c r="H51" s="361" t="s">
        <v>1800</v>
      </c>
      <c r="I51" s="248" t="s">
        <v>467</v>
      </c>
      <c r="J51" s="248" t="s">
        <v>5</v>
      </c>
      <c r="K51" s="248" t="s">
        <v>467</v>
      </c>
      <c r="L51" s="248" t="str">
        <f>IF(K51="No", "NOTE: info will need to be provided in the documents", "")</f>
        <v/>
      </c>
      <c r="N51" s="367"/>
      <c r="O51" s="367"/>
      <c r="P51" s="367"/>
      <c r="Q51" s="367"/>
      <c r="R51" s="367"/>
      <c r="S51" s="367"/>
      <c r="T51" s="367"/>
      <c r="U51" s="367"/>
      <c r="V51" s="367"/>
      <c r="W51" s="367"/>
    </row>
    <row r="52" spans="1:23" s="70" customFormat="1">
      <c r="A52" s="361" t="s">
        <v>24</v>
      </c>
      <c r="B52" s="361" t="str">
        <f>IF(OR(TBL_ADD_02_Project_Info[[#This Row],[Type]]="Heading", TBL_ADD_02_Project_Info[[#This Row],[Y/N]]="No"), "", IF(TBL_ADD_02_Project_Info[[#This Row],[Response]]&lt;&gt;"", "", "Add"))</f>
        <v/>
      </c>
      <c r="C52" s="361" t="s">
        <v>88</v>
      </c>
      <c r="D52" s="361" t="str">
        <f>LookUp!$AD$1</f>
        <v>LUp_ValueType</v>
      </c>
      <c r="E52" s="361" t="s">
        <v>24</v>
      </c>
      <c r="F52" s="361" t="s">
        <v>24</v>
      </c>
      <c r="G52" s="373" t="s">
        <v>325</v>
      </c>
      <c r="H52" s="361" t="s">
        <v>1800</v>
      </c>
      <c r="I52" s="248" t="s">
        <v>467</v>
      </c>
      <c r="J52" s="248" t="s">
        <v>1978</v>
      </c>
      <c r="K52" s="248" t="s">
        <v>1999</v>
      </c>
      <c r="L52" s="248"/>
      <c r="N52" s="367"/>
      <c r="O52" s="367"/>
      <c r="P52" s="367"/>
      <c r="Q52" s="367"/>
      <c r="R52" s="367"/>
      <c r="S52" s="367"/>
      <c r="T52" s="367"/>
      <c r="U52" s="367"/>
      <c r="V52" s="367"/>
      <c r="W52" s="367"/>
    </row>
    <row r="53" spans="1:23" s="70" customFormat="1">
      <c r="A53" s="361" t="s">
        <v>24</v>
      </c>
      <c r="B53" s="361" t="str">
        <f>IF(OR(TBL_ADD_02_Project_Info[[#This Row],[Type]]="Heading", TBL_ADD_02_Project_Info[[#This Row],[Y/N]]="No"), "", IF(TBL_ADD_02_Project_Info[[#This Row],[Response]]&lt;&gt;"", "", "Add"))</f>
        <v/>
      </c>
      <c r="C53" s="405" t="str">
        <f>IF(TBL_ADD_02_Project_Info[[#This Row],[Comments]]="Note - Add lots values", "Note", IF(TBL_ADD_02_Project_Info[[#This Row],[Comments]]&lt;&gt;"", "Error!", "Shade"))</f>
        <v>Shade</v>
      </c>
      <c r="D53" s="361">
        <v>0</v>
      </c>
      <c r="E53" s="361" t="s">
        <v>24</v>
      </c>
      <c r="F53" s="361" t="s">
        <v>1975</v>
      </c>
      <c r="G53" s="373" t="s">
        <v>327</v>
      </c>
      <c r="H53" s="361" t="s">
        <v>1800</v>
      </c>
      <c r="I53" s="248" t="str">
        <f>IF(OR($K$52="Single figure", $K$52="N/A"), "No", "Yes")</f>
        <v>No</v>
      </c>
      <c r="J53" s="248" t="s">
        <v>1976</v>
      </c>
      <c r="K53" s="406"/>
      <c r="L53" s="248" t="str">
        <f>IF(REF_Lotted="No", "", IF(AND(TBL_ADD_02_Project_Info[[#This Row],[Response]]&lt;&gt;"", SUMIF(TBL_DATA_01_Lot_Info[Lot], "&lt;&gt;All", TBL_DATA_01_Lot_Info[Value_Min])&gt;0), IF(ROUND(TBL_ADD_02_Project_Info[[#This Row],[Response]], 5)=ROUND(SUMIF(TBL_DATA_01_Lot_Info[Lot], "&lt;&gt;All", TBL_DATA_01_Lot_Info[Value_Min]), 5), "", "Error - Lot values do not add up to the minimium"), IF(TBL_ADD_02_Project_Info[[#This Row],[Response]]&lt;&gt;"", "Note - Add lots values", "")))</f>
        <v/>
      </c>
      <c r="N53" s="367"/>
      <c r="O53" s="367"/>
      <c r="P53" s="367"/>
      <c r="Q53" s="367"/>
      <c r="R53" s="367"/>
      <c r="S53" s="367"/>
      <c r="T53" s="367"/>
      <c r="U53" s="367"/>
      <c r="V53" s="367"/>
      <c r="W53" s="367"/>
    </row>
    <row r="54" spans="1:23" s="70" customFormat="1">
      <c r="A54" s="361" t="s">
        <v>24</v>
      </c>
      <c r="B54" s="361" t="str">
        <f>IF(OR(TBL_ADD_02_Project_Info[[#This Row],[Type]]="Heading", TBL_ADD_02_Project_Info[[#This Row],[Y/N]]="No"), "", IF(TBL_ADD_02_Project_Info[[#This Row],[Response]]&lt;&gt;"", "", "Add"))</f>
        <v/>
      </c>
      <c r="C54" s="405" t="str">
        <f>IF(TBL_ADD_02_Project_Info[[#This Row],[Comments]]="Note - Add lots values", "Note", IF(TBL_ADD_02_Project_Info[[#This Row],[Comments]]&lt;&gt;"", "Error!", "Shade"))</f>
        <v>Shade</v>
      </c>
      <c r="D54" s="361">
        <f>K53</f>
        <v>0</v>
      </c>
      <c r="E54" s="361" t="s">
        <v>24</v>
      </c>
      <c r="F54" s="361" t="s">
        <v>1975</v>
      </c>
      <c r="G54" s="373" t="s">
        <v>326</v>
      </c>
      <c r="H54" s="361" t="s">
        <v>1800</v>
      </c>
      <c r="I54" s="248" t="str">
        <f>IF($K$52="N/A", "No", "Yes")</f>
        <v>Yes</v>
      </c>
      <c r="J54" s="248" t="s">
        <v>1977</v>
      </c>
      <c r="K54" s="406">
        <v>56000000</v>
      </c>
      <c r="L54" s="248" t="str">
        <f>IF(REF_Lotted="No", "", IF(AND(TBL_ADD_02_Project_Info[[#This Row],[Response]]&lt;&gt;"", SUMIF(TBL_DATA_01_Lot_Info[Lot], "&lt;&gt;All", TBL_DATA_01_Lot_Info[Value_Max])&gt;0), IF(ROUND(TBL_ADD_02_Project_Info[[#This Row],[Response]], 5)=ROUND(SUMIF(TBL_DATA_01_Lot_Info[Lot], "&lt;&gt;All", TBL_DATA_01_Lot_Info[Value_Max]), 5), "", "Error - Lot values do not add up to the maximum"), IF(TBL_ADD_02_Project_Info[[#This Row],[Response]]&lt;&gt;"", "Note - Add lots values", "")))</f>
        <v/>
      </c>
      <c r="N54" s="367"/>
      <c r="O54" s="367"/>
      <c r="P54" s="367"/>
      <c r="Q54" s="367"/>
      <c r="R54" s="367"/>
      <c r="S54" s="367"/>
      <c r="T54" s="367"/>
      <c r="U54" s="367"/>
      <c r="V54" s="367"/>
      <c r="W54" s="367"/>
    </row>
    <row r="55" spans="1:23" s="70" customFormat="1" ht="13">
      <c r="A55" s="361" t="s">
        <v>1882</v>
      </c>
      <c r="B55" s="361" t="str">
        <f>IF(OR(TBL_ADD_02_Project_Info[[#This Row],[Type]]="Heading", TBL_ADD_02_Project_Info[[#This Row],[Y/N]]="No"), "", IF(TBL_ADD_02_Project_Info[[#This Row],[Response]]&lt;&gt;"", "", "Add"))</f>
        <v/>
      </c>
      <c r="C55" s="361"/>
      <c r="D55" s="248" t="s">
        <v>24</v>
      </c>
      <c r="E55" s="361" t="s">
        <v>24</v>
      </c>
      <c r="F55" s="361" t="s">
        <v>24</v>
      </c>
      <c r="G55" s="361"/>
      <c r="H55" s="361" t="s">
        <v>1800</v>
      </c>
      <c r="I55" s="248" t="str">
        <f>IF(REF_Lotted="No", "No", "Yes")</f>
        <v>No</v>
      </c>
      <c r="J55" s="361" t="s">
        <v>1988</v>
      </c>
      <c r="K55" s="248"/>
      <c r="L55" s="248"/>
      <c r="N55" s="367"/>
      <c r="O55" s="367"/>
      <c r="P55" s="367"/>
      <c r="Q55" s="367"/>
      <c r="R55" s="367"/>
      <c r="S55" s="367"/>
      <c r="T55" s="367"/>
      <c r="U55" s="367"/>
      <c r="V55" s="367"/>
      <c r="W55" s="367"/>
    </row>
    <row r="56" spans="1:23" s="70" customFormat="1">
      <c r="A56" s="361" t="s">
        <v>24</v>
      </c>
      <c r="B56" s="361" t="str">
        <f>IF(OR(TBL_ADD_02_Project_Info[[#This Row],[Type]]="Heading", TBL_ADD_02_Project_Info[[#This Row],[Y/N]]="No"), "", IF(TBL_ADD_02_Project_Info[[#This Row],[Response]]&lt;&gt;"", "", "Add"))</f>
        <v/>
      </c>
      <c r="C56" s="361" t="s">
        <v>88</v>
      </c>
      <c r="D56" s="361">
        <v>1</v>
      </c>
      <c r="E56" s="361" t="s">
        <v>24</v>
      </c>
      <c r="F56" s="361" t="s">
        <v>1974</v>
      </c>
      <c r="G56" s="373" t="s">
        <v>328</v>
      </c>
      <c r="H56" s="361" t="s">
        <v>1800</v>
      </c>
      <c r="I56" s="248" t="s">
        <v>467</v>
      </c>
      <c r="J56" s="248" t="s">
        <v>1991</v>
      </c>
      <c r="K56" s="329">
        <v>4</v>
      </c>
      <c r="L56" s="248"/>
      <c r="N56" s="367"/>
      <c r="O56" s="367"/>
      <c r="P56" s="367"/>
      <c r="Q56" s="367"/>
      <c r="R56" s="367"/>
      <c r="S56" s="367"/>
      <c r="T56" s="367"/>
      <c r="U56" s="367"/>
      <c r="V56" s="367"/>
      <c r="W56" s="367"/>
    </row>
    <row r="57" spans="1:23" s="70" customFormat="1">
      <c r="A57" s="361" t="s">
        <v>24</v>
      </c>
      <c r="B57" s="361" t="str">
        <f>IF(OR(TBL_ADD_02_Project_Info[[#This Row],[Type]]="Heading", TBL_ADD_02_Project_Info[[#This Row],[Y/N]]="No"), "", IF(TBL_ADD_02_Project_Info[[#This Row],[Response]]&lt;&gt;"", "", "Add"))</f>
        <v/>
      </c>
      <c r="C57" s="361" t="s">
        <v>88</v>
      </c>
      <c r="D57" s="361">
        <f>K56</f>
        <v>4</v>
      </c>
      <c r="E57" s="361" t="s">
        <v>24</v>
      </c>
      <c r="F57" s="361" t="s">
        <v>1974</v>
      </c>
      <c r="G57" s="373" t="s">
        <v>329</v>
      </c>
      <c r="H57" s="361" t="s">
        <v>1800</v>
      </c>
      <c r="I57" s="248" t="s">
        <v>467</v>
      </c>
      <c r="J57" s="248" t="s">
        <v>1992</v>
      </c>
      <c r="K57" s="329">
        <v>4</v>
      </c>
      <c r="L57" s="248"/>
      <c r="N57" s="367"/>
      <c r="O57" s="367"/>
      <c r="P57" s="367"/>
      <c r="Q57" s="367"/>
      <c r="R57" s="367"/>
      <c r="S57" s="367"/>
      <c r="T57" s="367"/>
      <c r="U57" s="367"/>
      <c r="V57" s="367"/>
      <c r="W57" s="367"/>
    </row>
    <row r="58" spans="1:23" s="70" customFormat="1">
      <c r="A58" s="361" t="s">
        <v>24</v>
      </c>
      <c r="B58" s="361" t="str">
        <f>IF(OR(TBL_ADD_02_Project_Info[[#This Row],[Type]]="Heading", TBL_ADD_02_Project_Info[[#This Row],[Y/N]]="No"), "", IF(TBL_ADD_02_Project_Info[[#This Row],[Response]]&lt;&gt;"", "", "Add"))</f>
        <v/>
      </c>
      <c r="C58" s="361" t="s">
        <v>88</v>
      </c>
      <c r="D58" s="248" t="str">
        <f>LookUp!$AH$1</f>
        <v>LUp_YesNo</v>
      </c>
      <c r="E58" s="361" t="s">
        <v>24</v>
      </c>
      <c r="F58" s="361" t="s">
        <v>24</v>
      </c>
      <c r="G58" s="361" t="s">
        <v>2139</v>
      </c>
      <c r="H58" s="361" t="s">
        <v>1800</v>
      </c>
      <c r="I58" s="248" t="str">
        <f>IF(REF_Lotted="No", "No", "Yes")</f>
        <v>No</v>
      </c>
      <c r="J58" s="248" t="s">
        <v>2034</v>
      </c>
      <c r="K58" s="248"/>
      <c r="L58" s="248"/>
      <c r="N58" s="367"/>
      <c r="O58" s="367"/>
      <c r="P58" s="367"/>
      <c r="Q58" s="367"/>
      <c r="R58" s="367"/>
      <c r="S58" s="367"/>
      <c r="T58" s="367"/>
      <c r="U58" s="367"/>
      <c r="V58" s="367"/>
      <c r="W58" s="367"/>
    </row>
    <row r="59" spans="1:23" s="70" customFormat="1">
      <c r="A59" s="361" t="s">
        <v>24</v>
      </c>
      <c r="B59" s="361" t="str">
        <f>IF(OR(TBL_ADD_02_Project_Info[[#This Row],[Type]]="Heading", TBL_ADD_02_Project_Info[[#This Row],[Y/N]]="No"), "", IF(TBL_ADD_02_Project_Info[[#This Row],[Response]]&lt;&gt;"", "", "Add"))</f>
        <v/>
      </c>
      <c r="C59" s="361" t="s">
        <v>88</v>
      </c>
      <c r="D59" s="248">
        <v>1</v>
      </c>
      <c r="E59" s="248">
        <f>REF_No_Lots</f>
        <v>0</v>
      </c>
      <c r="F59" s="361" t="s">
        <v>1974</v>
      </c>
      <c r="G59" s="361" t="s">
        <v>2195</v>
      </c>
      <c r="H59" s="361" t="s">
        <v>1800</v>
      </c>
      <c r="I59" s="248" t="str">
        <f>IF($K$58="Yes", "Yes", "No")</f>
        <v>No</v>
      </c>
      <c r="J59" s="248" t="s">
        <v>1889</v>
      </c>
      <c r="K59" s="329"/>
      <c r="L59" s="248"/>
      <c r="N59" s="367"/>
      <c r="O59" s="367"/>
      <c r="P59" s="367"/>
      <c r="Q59" s="367"/>
      <c r="R59" s="367"/>
      <c r="S59" s="367"/>
      <c r="T59" s="367"/>
      <c r="U59" s="367"/>
      <c r="V59" s="367"/>
      <c r="W59" s="367"/>
    </row>
    <row r="60" spans="1:23" s="70" customFormat="1">
      <c r="A60" s="361" t="s">
        <v>24</v>
      </c>
      <c r="B60" s="361" t="str">
        <f>IF(OR(TBL_ADD_02_Project_Info[[#This Row],[Type]]="Heading", TBL_ADD_02_Project_Info[[#This Row],[Y/N]]="No"), "", IF(TBL_ADD_02_Project_Info[[#This Row],[Response]]&lt;&gt;"", "", "Add"))</f>
        <v/>
      </c>
      <c r="C60" s="361" t="s">
        <v>88</v>
      </c>
      <c r="D60" s="248" t="str">
        <f>LookUp!$AH$1</f>
        <v>LUp_YesNo</v>
      </c>
      <c r="E60" s="361" t="s">
        <v>24</v>
      </c>
      <c r="F60" s="361" t="s">
        <v>24</v>
      </c>
      <c r="G60" s="361" t="s">
        <v>2196</v>
      </c>
      <c r="H60" s="361" t="s">
        <v>1800</v>
      </c>
      <c r="I60" s="248" t="str">
        <f>IF($K$58="Yes", "Yes", "No")</f>
        <v>No</v>
      </c>
      <c r="J60" s="248" t="s">
        <v>2036</v>
      </c>
      <c r="K60" s="248"/>
      <c r="L60" s="248"/>
      <c r="N60" s="367"/>
      <c r="O60" s="367"/>
      <c r="P60" s="367"/>
      <c r="Q60" s="367"/>
      <c r="R60" s="367"/>
      <c r="S60" s="367"/>
      <c r="T60" s="367"/>
      <c r="U60" s="367"/>
      <c r="V60" s="367"/>
      <c r="W60" s="367"/>
    </row>
    <row r="61" spans="1:23" s="70" customFormat="1" ht="13">
      <c r="A61" s="361" t="s">
        <v>1882</v>
      </c>
      <c r="B61" s="361" t="str">
        <f>IF(OR(TBL_ADD_02_Project_Info[[#This Row],[Type]]="Heading", TBL_ADD_02_Project_Info[[#This Row],[Y/N]]="No"), "", IF(TBL_ADD_02_Project_Info[[#This Row],[Response]]&lt;&gt;"", "", "Add"))</f>
        <v/>
      </c>
      <c r="C61" s="361"/>
      <c r="D61" s="248" t="s">
        <v>24</v>
      </c>
      <c r="E61" s="248" t="s">
        <v>24</v>
      </c>
      <c r="F61" s="361" t="s">
        <v>24</v>
      </c>
      <c r="G61" s="361" t="s">
        <v>24</v>
      </c>
      <c r="H61" s="361" t="s">
        <v>1800</v>
      </c>
      <c r="I61" s="248" t="s">
        <v>467</v>
      </c>
      <c r="J61" s="248" t="s">
        <v>1851</v>
      </c>
      <c r="K61" s="248"/>
      <c r="L61" s="248"/>
      <c r="N61" s="367"/>
      <c r="O61" s="367"/>
      <c r="P61" s="367"/>
      <c r="Q61" s="367"/>
      <c r="R61" s="367"/>
      <c r="S61" s="367"/>
      <c r="T61" s="367"/>
      <c r="U61" s="367"/>
      <c r="V61" s="367"/>
      <c r="W61" s="367"/>
    </row>
    <row r="62" spans="1:23" s="70" customFormat="1">
      <c r="A62" s="361" t="s">
        <v>24</v>
      </c>
      <c r="B62" s="361" t="str">
        <f>IF(OR(TBL_ADD_02_Project_Info[[#This Row],[Type]]="Heading", TBL_ADD_02_Project_Info[[#This Row],[Y/N]]="No"), "", IF(TBL_ADD_02_Project_Info[[#This Row],[Response]]&lt;&gt;"", "", "Add"))</f>
        <v/>
      </c>
      <c r="C62" s="361" t="s">
        <v>88</v>
      </c>
      <c r="D62" s="248">
        <v>0</v>
      </c>
      <c r="E62" s="248" t="s">
        <v>24</v>
      </c>
      <c r="F62" s="361" t="s">
        <v>1975</v>
      </c>
      <c r="G62" s="361" t="s">
        <v>43</v>
      </c>
      <c r="H62" s="361" t="s">
        <v>1800</v>
      </c>
      <c r="I62" s="248" t="s">
        <v>467</v>
      </c>
      <c r="J62" s="248" t="s">
        <v>22</v>
      </c>
      <c r="K62" s="406">
        <v>10000000</v>
      </c>
      <c r="L62" s="248" t="s">
        <v>1970</v>
      </c>
      <c r="N62" s="367"/>
      <c r="O62" s="367"/>
      <c r="P62" s="367"/>
      <c r="Q62" s="367"/>
      <c r="R62" s="367"/>
      <c r="S62" s="367"/>
      <c r="T62" s="367"/>
      <c r="U62" s="367"/>
      <c r="V62" s="367"/>
      <c r="W62" s="367"/>
    </row>
    <row r="63" spans="1:23" s="70" customFormat="1">
      <c r="A63" s="361" t="s">
        <v>24</v>
      </c>
      <c r="B63" s="361" t="str">
        <f>IF(OR(TBL_ADD_02_Project_Info[[#This Row],[Type]]="Heading", TBL_ADD_02_Project_Info[[#This Row],[Y/N]]="No"), "", IF(TBL_ADD_02_Project_Info[[#This Row],[Response]]&lt;&gt;"", "", "Add"))</f>
        <v/>
      </c>
      <c r="C63" s="361" t="s">
        <v>88</v>
      </c>
      <c r="D63" s="248">
        <v>0</v>
      </c>
      <c r="E63" s="248" t="s">
        <v>24</v>
      </c>
      <c r="F63" s="361" t="s">
        <v>1975</v>
      </c>
      <c r="G63" s="361" t="s">
        <v>2197</v>
      </c>
      <c r="H63" s="361" t="s">
        <v>1800</v>
      </c>
      <c r="I63" s="248" t="s">
        <v>467</v>
      </c>
      <c r="J63" s="248" t="s">
        <v>1333</v>
      </c>
      <c r="K63" s="406">
        <v>10000000</v>
      </c>
      <c r="L63" s="248" t="s">
        <v>1970</v>
      </c>
      <c r="N63" s="367"/>
      <c r="O63" s="367"/>
      <c r="P63" s="367"/>
      <c r="Q63" s="367"/>
      <c r="R63" s="367"/>
      <c r="S63" s="367"/>
      <c r="T63" s="367"/>
      <c r="U63" s="367"/>
      <c r="V63" s="367"/>
      <c r="W63" s="367"/>
    </row>
    <row r="64" spans="1:23" s="70" customFormat="1">
      <c r="A64" s="361" t="s">
        <v>24</v>
      </c>
      <c r="B64" s="361" t="str">
        <f>IF(OR(TBL_ADD_02_Project_Info[[#This Row],[Type]]="Heading", TBL_ADD_02_Project_Info[[#This Row],[Y/N]]="No"), "", IF(TBL_ADD_02_Project_Info[[#This Row],[Response]]&lt;&gt;"", "", "Add"))</f>
        <v/>
      </c>
      <c r="C64" s="361" t="s">
        <v>88</v>
      </c>
      <c r="D64" s="248">
        <v>0</v>
      </c>
      <c r="E64" s="248" t="s">
        <v>24</v>
      </c>
      <c r="F64" s="361" t="s">
        <v>1975</v>
      </c>
      <c r="G64" s="361" t="s">
        <v>45</v>
      </c>
      <c r="H64" s="361" t="s">
        <v>1800</v>
      </c>
      <c r="I64" s="248" t="s">
        <v>467</v>
      </c>
      <c r="J64" s="248" t="s">
        <v>23</v>
      </c>
      <c r="K64" s="406">
        <v>2000000</v>
      </c>
      <c r="L64" s="248" t="s">
        <v>1970</v>
      </c>
      <c r="N64" s="367"/>
      <c r="O64" s="367"/>
      <c r="P64" s="367"/>
      <c r="Q64" s="367"/>
      <c r="R64" s="367"/>
      <c r="S64" s="367"/>
      <c r="T64" s="367"/>
      <c r="U64" s="367"/>
      <c r="V64" s="367"/>
      <c r="W64" s="367"/>
    </row>
    <row r="65" spans="1:23" s="70" customFormat="1">
      <c r="A65" s="361" t="s">
        <v>24</v>
      </c>
      <c r="B65" s="361" t="str">
        <f>IF(OR(TBL_ADD_02_Project_Info[[#This Row],[Type]]="Heading", TBL_ADD_02_Project_Info[[#This Row],[Y/N]]="No"), "", IF(TBL_ADD_02_Project_Info[[#This Row],[Response]]&lt;&gt;"", "", "Add"))</f>
        <v>Add</v>
      </c>
      <c r="C65" s="361" t="s">
        <v>88</v>
      </c>
      <c r="D65" s="248">
        <v>0</v>
      </c>
      <c r="E65" s="248" t="s">
        <v>24</v>
      </c>
      <c r="F65" s="361" t="s">
        <v>1975</v>
      </c>
      <c r="G65" s="361" t="s">
        <v>1334</v>
      </c>
      <c r="H65" s="361" t="s">
        <v>1800</v>
      </c>
      <c r="I65" s="248" t="s">
        <v>467</v>
      </c>
      <c r="J65" s="248" t="s">
        <v>1332</v>
      </c>
      <c r="K65" s="406"/>
      <c r="L65" s="248" t="s">
        <v>1970</v>
      </c>
      <c r="N65" s="367"/>
      <c r="O65" s="367"/>
      <c r="P65" s="367"/>
      <c r="Q65" s="367"/>
      <c r="R65" s="367"/>
      <c r="S65" s="367"/>
      <c r="T65" s="367"/>
      <c r="U65" s="367"/>
      <c r="V65" s="367"/>
      <c r="W65" s="367"/>
    </row>
    <row r="66" spans="1:23" s="70" customFormat="1">
      <c r="A66" s="361" t="s">
        <v>24</v>
      </c>
      <c r="B66" s="361" t="str">
        <f>IF(OR(TBL_ADD_02_Project_Info[[#This Row],[Type]]="Heading", TBL_ADD_02_Project_Info[[#This Row],[Y/N]]="No"), "", IF(TBL_ADD_02_Project_Info[[#This Row],[Response]]&lt;&gt;"", "", "Add"))</f>
        <v/>
      </c>
      <c r="C66" s="361" t="s">
        <v>88</v>
      </c>
      <c r="D66" s="248" t="s">
        <v>2019</v>
      </c>
      <c r="E66" s="248" t="s">
        <v>24</v>
      </c>
      <c r="F66" s="361" t="s">
        <v>24</v>
      </c>
      <c r="G66" s="361" t="s">
        <v>2198</v>
      </c>
      <c r="H66" s="361" t="s">
        <v>1800</v>
      </c>
      <c r="I66" s="248" t="s">
        <v>467</v>
      </c>
      <c r="J66" s="248" t="s">
        <v>1474</v>
      </c>
      <c r="K66" s="359" t="s">
        <v>2021</v>
      </c>
      <c r="L66" s="248"/>
      <c r="N66" s="367"/>
      <c r="O66" s="367"/>
      <c r="P66" s="367"/>
      <c r="Q66" s="367"/>
      <c r="R66" s="367"/>
      <c r="S66" s="367"/>
      <c r="T66" s="367"/>
      <c r="U66" s="367"/>
      <c r="V66" s="367"/>
      <c r="W66" s="367"/>
    </row>
    <row r="67" spans="1:23" s="70" customFormat="1" ht="13">
      <c r="A67" s="361" t="s">
        <v>1882</v>
      </c>
      <c r="B67" s="361" t="str">
        <f>IF(OR(TBL_ADD_02_Project_Info[[#This Row],[Type]]="Heading", TBL_ADD_02_Project_Info[[#This Row],[Y/N]]="No"), "", IF(TBL_ADD_02_Project_Info[[#This Row],[Response]]&lt;&gt;"", "", "Add"))</f>
        <v/>
      </c>
      <c r="C67" s="361"/>
      <c r="D67" s="361" t="s">
        <v>24</v>
      </c>
      <c r="E67" s="248" t="s">
        <v>24</v>
      </c>
      <c r="F67" s="361" t="s">
        <v>24</v>
      </c>
      <c r="G67" s="361" t="s">
        <v>24</v>
      </c>
      <c r="H67" s="361" t="s">
        <v>1800</v>
      </c>
      <c r="I67" s="248" t="s">
        <v>467</v>
      </c>
      <c r="J67" s="248" t="s">
        <v>401</v>
      </c>
      <c r="K67" s="248"/>
      <c r="L67" s="248"/>
      <c r="N67" s="367"/>
      <c r="O67" s="367"/>
      <c r="P67" s="367"/>
      <c r="Q67" s="367"/>
      <c r="R67" s="367"/>
      <c r="S67" s="367"/>
      <c r="T67" s="367"/>
      <c r="U67" s="367"/>
      <c r="V67" s="367"/>
      <c r="W67" s="367"/>
    </row>
    <row r="68" spans="1:23" s="70" customFormat="1">
      <c r="A68" s="361" t="s">
        <v>24</v>
      </c>
      <c r="B68" s="361" t="str">
        <f>IF(OR(TBL_ADD_02_Project_Info[[#This Row],[Type]]="Heading", TBL_ADD_02_Project_Info[[#This Row],[Y/N]]="No"), "", IF(TBL_ADD_02_Project_Info[[#This Row],[Response]]&lt;&gt;"", "", "Add"))</f>
        <v/>
      </c>
      <c r="C68" s="405" t="str">
        <f>IF(TBL_ADD_02_Project_Info[[#This Row],[Comments]]&lt;&gt;"", "Note", "Shade")</f>
        <v>Shade</v>
      </c>
      <c r="D68" s="248" t="str">
        <f>LookUp!$AH$1</f>
        <v>LUp_YesNo</v>
      </c>
      <c r="E68" s="248" t="s">
        <v>24</v>
      </c>
      <c r="F68" s="361" t="s">
        <v>24</v>
      </c>
      <c r="G68" s="361" t="s">
        <v>2199</v>
      </c>
      <c r="H68" s="361" t="s">
        <v>1800</v>
      </c>
      <c r="I68" s="248" t="s">
        <v>467</v>
      </c>
      <c r="J68" s="248" t="s">
        <v>399</v>
      </c>
      <c r="K68" s="359" t="s">
        <v>320</v>
      </c>
      <c r="L68" s="248" t="str">
        <f>IF($K$68="Yes", "NOTE: The evaluation methodology will need to be added to Doc 1", "")</f>
        <v/>
      </c>
      <c r="N68" s="367"/>
      <c r="O68" s="367"/>
      <c r="P68" s="367"/>
      <c r="Q68" s="367"/>
      <c r="R68" s="367"/>
      <c r="S68" s="367"/>
      <c r="T68" s="367"/>
      <c r="U68" s="367"/>
      <c r="V68" s="367"/>
      <c r="W68" s="367"/>
    </row>
    <row r="69" spans="1:23" s="70" customFormat="1">
      <c r="A69" s="361" t="s">
        <v>24</v>
      </c>
      <c r="B69" s="361" t="str">
        <f>IF(OR(TBL_ADD_02_Project_Info[[#This Row],[Type]]="Heading", TBL_ADD_02_Project_Info[[#This Row],[Y/N]]="No"), "", IF(TBL_ADD_02_Project_Info[[#This Row],[Response]]&lt;&gt;"", "", "Add"))</f>
        <v/>
      </c>
      <c r="C69" s="361" t="s">
        <v>88</v>
      </c>
      <c r="D69" s="248" t="str">
        <f>LookUp!$AH$1</f>
        <v>LUp_YesNo</v>
      </c>
      <c r="E69" s="248" t="s">
        <v>24</v>
      </c>
      <c r="F69" s="361" t="s">
        <v>24</v>
      </c>
      <c r="G69" s="361" t="s">
        <v>2212</v>
      </c>
      <c r="H69" s="361" t="s">
        <v>1800</v>
      </c>
      <c r="I69" s="248" t="str">
        <f>IF(AND($K$18="SQ", $K$68="Yes"), "Yes", "No")</f>
        <v>No</v>
      </c>
      <c r="J69" s="248" t="s">
        <v>1890</v>
      </c>
      <c r="K69" s="359"/>
      <c r="L69" s="248"/>
      <c r="N69" s="367"/>
      <c r="O69" s="367"/>
      <c r="P69" s="367"/>
      <c r="Q69" s="367"/>
      <c r="R69" s="367"/>
      <c r="S69" s="367"/>
      <c r="T69" s="367"/>
      <c r="U69" s="367"/>
      <c r="V69" s="367"/>
      <c r="W69" s="367"/>
    </row>
    <row r="70" spans="1:23" s="70" customFormat="1" ht="13">
      <c r="A70" s="361" t="s">
        <v>1882</v>
      </c>
      <c r="B70" s="361" t="str">
        <f>IF(OR(TBL_ADD_02_Project_Info[[#This Row],[Type]]="Heading", TBL_ADD_02_Project_Info[[#This Row],[Y/N]]="No"), "", IF(TBL_ADD_02_Project_Info[[#This Row],[Response]]&lt;&gt;"", "", "Add"))</f>
        <v/>
      </c>
      <c r="C70" s="361"/>
      <c r="D70" s="361" t="s">
        <v>24</v>
      </c>
      <c r="E70" s="248" t="s">
        <v>24</v>
      </c>
      <c r="F70" s="361" t="s">
        <v>24</v>
      </c>
      <c r="G70" s="361" t="s">
        <v>24</v>
      </c>
      <c r="H70" s="361" t="s">
        <v>1800</v>
      </c>
      <c r="I70" s="248" t="str">
        <f>IF($K$18="SQ", "Yes", "No")</f>
        <v>No</v>
      </c>
      <c r="J70" s="248" t="s">
        <v>1942</v>
      </c>
      <c r="K70" s="248"/>
      <c r="L70" s="248"/>
      <c r="N70" s="367"/>
      <c r="O70" s="367"/>
      <c r="P70" s="367"/>
      <c r="Q70" s="367"/>
      <c r="R70" s="367"/>
      <c r="S70" s="367"/>
      <c r="T70" s="367"/>
      <c r="U70" s="367"/>
      <c r="V70" s="367"/>
      <c r="W70" s="367"/>
    </row>
    <row r="71" spans="1:23" s="70" customFormat="1">
      <c r="A71" s="361" t="s">
        <v>24</v>
      </c>
      <c r="B71" s="361" t="str">
        <f>IF(OR(TBL_ADD_02_Project_Info[[#This Row],[Type]]="Heading", TBL_ADD_02_Project_Info[[#This Row],[Y/N]]="No"), "", IF(TBL_ADD_02_Project_Info[[#This Row],[Response]]&lt;&gt;"", "", "Add"))</f>
        <v/>
      </c>
      <c r="C71" s="361" t="s">
        <v>88</v>
      </c>
      <c r="D71" s="248" t="str">
        <f>LookUp!$AH$1</f>
        <v>LUp_YesNo</v>
      </c>
      <c r="E71" s="248" t="s">
        <v>24</v>
      </c>
      <c r="F71" s="361" t="s">
        <v>24</v>
      </c>
      <c r="G71" s="361" t="s">
        <v>2201</v>
      </c>
      <c r="H71" s="361" t="s">
        <v>1800</v>
      </c>
      <c r="I71" s="248" t="str">
        <f>IF($K$18="SQ", "Yes", "No")</f>
        <v>No</v>
      </c>
      <c r="J71" s="248" t="s">
        <v>1891</v>
      </c>
      <c r="K71" s="359"/>
      <c r="L71" s="248"/>
      <c r="N71" s="367"/>
      <c r="O71" s="367"/>
      <c r="P71" s="367"/>
      <c r="Q71" s="367"/>
      <c r="R71" s="367"/>
      <c r="S71" s="367"/>
      <c r="T71" s="367"/>
      <c r="U71" s="367"/>
      <c r="V71" s="367"/>
      <c r="W71" s="367"/>
    </row>
    <row r="72" spans="1:23" s="70" customFormat="1" ht="25">
      <c r="A72" s="361" t="s">
        <v>24</v>
      </c>
      <c r="B72" s="361" t="str">
        <f>IF(OR(TBL_ADD_02_Project_Info[[#This Row],[Type]]="Heading", TBL_ADD_02_Project_Info[[#This Row],[Y/N]]="No"), "", IF(TBL_ADD_02_Project_Info[[#This Row],[Response]]&lt;&gt;"", "", "Add"))</f>
        <v/>
      </c>
      <c r="C72" s="361" t="s">
        <v>88</v>
      </c>
      <c r="D72" s="248" t="str">
        <f>LookUp!$AH$1</f>
        <v>LUp_YesNo</v>
      </c>
      <c r="E72" s="248" t="s">
        <v>24</v>
      </c>
      <c r="F72" s="361" t="s">
        <v>24</v>
      </c>
      <c r="G72" s="361" t="s">
        <v>2202</v>
      </c>
      <c r="H72" s="361" t="s">
        <v>1800</v>
      </c>
      <c r="I72" s="248" t="str">
        <f>IF(AND($K$18="SQ", $K$71="Yes", OR(K15="services", K15="supplies")), "Yes", "No")</f>
        <v>No</v>
      </c>
      <c r="J72" s="248" t="s">
        <v>1995</v>
      </c>
      <c r="K72" s="359"/>
      <c r="L72" s="248" t="str">
        <f>IF(AND(TBL_ADD_02_Project_Info[[#This Row],[Response]]="Yes", OR($K$73=LookUp!$G$5, $K$73=LookUp!$G$6)), "Suppliers' Past Performance", "Section not applicable")</f>
        <v>Section not applicable</v>
      </c>
      <c r="N72" s="367"/>
      <c r="O72" s="367"/>
      <c r="P72" s="367"/>
      <c r="Q72" s="367"/>
      <c r="R72" s="367"/>
      <c r="S72" s="367"/>
      <c r="T72" s="367"/>
      <c r="U72" s="367"/>
      <c r="V72" s="367"/>
      <c r="W72" s="367"/>
    </row>
    <row r="73" spans="1:23" s="70" customFormat="1">
      <c r="A73" s="361" t="s">
        <v>24</v>
      </c>
      <c r="B73" s="361" t="str">
        <f>IF(OR(TBL_ADD_02_Project_Info[[#This Row],[Type]]="Heading", TBL_ADD_02_Project_Info[[#This Row],[Y/N]]="No"), "", IF(TBL_ADD_02_Project_Info[[#This Row],[Response]]&lt;&gt;"", "", "Add"))</f>
        <v/>
      </c>
      <c r="C73" s="361" t="s">
        <v>88</v>
      </c>
      <c r="D73" s="361" t="str">
        <f>LookUp!$G$1</f>
        <v>LUp_CCSValues</v>
      </c>
      <c r="E73" s="248" t="s">
        <v>24</v>
      </c>
      <c r="F73" s="361" t="s">
        <v>24</v>
      </c>
      <c r="G73" s="361" t="s">
        <v>2203</v>
      </c>
      <c r="H73" s="361" t="s">
        <v>1800</v>
      </c>
      <c r="I73" s="248" t="str">
        <f>IF(AND($K$18="SQ", $K$71="Yes"), "Yes", "No")</f>
        <v>No</v>
      </c>
      <c r="J73" s="248" t="s">
        <v>1996</v>
      </c>
      <c r="K73" s="248"/>
      <c r="L73" s="248" t="str">
        <f>IF(OR(TBL_ADD_02_Project_Info[[#This Row],[Response]]=LookUp!$G$4, TBL_ADD_02_Project_Info[[#This Row],[Response]]=LookUp!$G$6), "Skills and Apprentices", "Section not applicable")</f>
        <v>Section not applicable</v>
      </c>
      <c r="N73" s="367"/>
      <c r="O73" s="367"/>
      <c r="P73" s="367"/>
      <c r="Q73" s="367"/>
      <c r="R73" s="367"/>
      <c r="S73" s="367"/>
      <c r="T73" s="367"/>
      <c r="U73" s="367"/>
      <c r="V73" s="367"/>
      <c r="W73" s="367"/>
    </row>
    <row r="74" spans="1:23" s="70" customFormat="1" ht="13">
      <c r="A74" s="361" t="s">
        <v>1882</v>
      </c>
      <c r="B74" s="361" t="str">
        <f>IF(OR(TBL_ADD_02_Project_Info[[#This Row],[Type]]="Heading", TBL_ADD_02_Project_Info[[#This Row],[Y/N]]="No"), "", IF(TBL_ADD_02_Project_Info[[#This Row],[Response]]&lt;&gt;"", "", "Add"))</f>
        <v/>
      </c>
      <c r="C74" s="361"/>
      <c r="D74" s="361" t="s">
        <v>24</v>
      </c>
      <c r="E74" s="248" t="s">
        <v>24</v>
      </c>
      <c r="F74" s="361" t="s">
        <v>24</v>
      </c>
      <c r="G74" s="361" t="s">
        <v>24</v>
      </c>
      <c r="H74" s="361" t="s">
        <v>1800</v>
      </c>
      <c r="I74" s="248" t="str">
        <f>IF($K$18="PAS", "Yes", "No")</f>
        <v>Yes</v>
      </c>
      <c r="J74" s="248" t="s">
        <v>1941</v>
      </c>
      <c r="K74" s="248"/>
      <c r="L74" s="248"/>
      <c r="N74" s="367"/>
      <c r="O74" s="367"/>
      <c r="P74" s="367"/>
      <c r="Q74" s="367"/>
      <c r="R74" s="367"/>
      <c r="S74" s="367"/>
      <c r="T74" s="367"/>
      <c r="U74" s="367"/>
      <c r="V74" s="367"/>
      <c r="W74" s="367"/>
    </row>
    <row r="75" spans="1:23" s="70" customFormat="1">
      <c r="A75" s="361" t="s">
        <v>24</v>
      </c>
      <c r="B75" s="361" t="str">
        <f>IF(OR(TBL_ADD_02_Project_Info[[#This Row],[Type]]="Heading", TBL_ADD_02_Project_Info[[#This Row],[Y/N]]="No"), "", IF(TBL_ADD_02_Project_Info[[#This Row],[Response]]&lt;&gt;"", "", "Add"))</f>
        <v/>
      </c>
      <c r="C75" s="361" t="s">
        <v>88</v>
      </c>
      <c r="D75" s="248" t="str">
        <f>LookUp!$AH$1</f>
        <v>LUp_YesNo</v>
      </c>
      <c r="E75" s="248" t="s">
        <v>24</v>
      </c>
      <c r="F75" s="361" t="s">
        <v>24</v>
      </c>
      <c r="G75" s="361" t="s">
        <v>2204</v>
      </c>
      <c r="H75" s="361" t="s">
        <v>1800</v>
      </c>
      <c r="I75" s="248" t="str">
        <f>IF($K$18="PAS", "Yes", "No")</f>
        <v>Yes</v>
      </c>
      <c r="J75" s="248" t="s">
        <v>1892</v>
      </c>
      <c r="K75" s="359" t="s">
        <v>467</v>
      </c>
      <c r="L75" s="248"/>
      <c r="N75" s="367"/>
      <c r="O75" s="367"/>
      <c r="P75" s="367"/>
      <c r="Q75" s="367"/>
      <c r="R75" s="367"/>
      <c r="S75" s="367"/>
      <c r="T75" s="367"/>
      <c r="U75" s="367"/>
      <c r="V75" s="367"/>
      <c r="W75" s="367"/>
    </row>
    <row r="76" spans="1:23" s="70" customFormat="1">
      <c r="A76" s="361" t="s">
        <v>24</v>
      </c>
      <c r="B76" s="361" t="str">
        <f>IF(OR(TBL_ADD_02_Project_Info[[#This Row],[Type]]="Heading", TBL_ADD_02_Project_Info[[#This Row],[Y/N]]="No"), "", IF(TBL_ADD_02_Project_Info[[#This Row],[Response]]&lt;&gt;"", "", "Add"))</f>
        <v/>
      </c>
      <c r="C76" s="361" t="s">
        <v>88</v>
      </c>
      <c r="D76" s="248" t="str">
        <f>LookUp!$AH$1</f>
        <v>LUp_YesNo</v>
      </c>
      <c r="E76" s="248" t="s">
        <v>24</v>
      </c>
      <c r="F76" s="361" t="s">
        <v>24</v>
      </c>
      <c r="G76" s="361" t="s">
        <v>2205</v>
      </c>
      <c r="H76" s="361" t="s">
        <v>1800</v>
      </c>
      <c r="I76" s="248" t="str">
        <f>IF(AND($K$18="PAS", $K$75="Yes"), "Yes", "No")</f>
        <v>Yes</v>
      </c>
      <c r="J76" s="248" t="s">
        <v>1893</v>
      </c>
      <c r="K76" s="359" t="s">
        <v>320</v>
      </c>
      <c r="L76" s="248"/>
      <c r="N76" s="367"/>
      <c r="O76" s="367"/>
      <c r="P76" s="367"/>
      <c r="Q76" s="367"/>
      <c r="R76" s="367"/>
      <c r="S76" s="367"/>
      <c r="T76" s="367"/>
      <c r="U76" s="367"/>
      <c r="V76" s="367"/>
      <c r="W76" s="367"/>
    </row>
    <row r="77" spans="1:23" s="70" customFormat="1">
      <c r="A77" s="361" t="s">
        <v>24</v>
      </c>
      <c r="B77" s="361" t="str">
        <f>IF(OR(TBL_ADD_02_Project_Info[[#This Row],[Type]]="Heading", TBL_ADD_02_Project_Info[[#This Row],[Y/N]]="No"), "", IF(TBL_ADD_02_Project_Info[[#This Row],[Response]]&lt;&gt;"", "", "Add"))</f>
        <v/>
      </c>
      <c r="C77" s="361" t="s">
        <v>88</v>
      </c>
      <c r="D77" s="248" t="str">
        <f>LookUp!$AH$1</f>
        <v>LUp_YesNo</v>
      </c>
      <c r="E77" s="248" t="s">
        <v>24</v>
      </c>
      <c r="F77" s="361" t="s">
        <v>24</v>
      </c>
      <c r="G77" s="361" t="s">
        <v>2206</v>
      </c>
      <c r="H77" s="361" t="s">
        <v>1800</v>
      </c>
      <c r="I77" s="248" t="str">
        <f>IF($K$18="PAS", "Yes", "No")</f>
        <v>Yes</v>
      </c>
      <c r="J77" s="248" t="s">
        <v>1894</v>
      </c>
      <c r="K77" s="359" t="s">
        <v>467</v>
      </c>
      <c r="L77" s="248"/>
      <c r="N77" s="367"/>
      <c r="O77" s="367"/>
      <c r="P77" s="367"/>
      <c r="Q77" s="367"/>
      <c r="R77" s="367"/>
      <c r="S77" s="367"/>
      <c r="T77" s="367"/>
      <c r="U77" s="367"/>
      <c r="V77" s="367"/>
      <c r="W77" s="367"/>
    </row>
    <row r="78" spans="1:23" s="70" customFormat="1">
      <c r="A78" s="361" t="s">
        <v>24</v>
      </c>
      <c r="B78" s="361" t="str">
        <f>IF(OR(TBL_ADD_02_Project_Info[[#This Row],[Type]]="Heading", TBL_ADD_02_Project_Info[[#This Row],[Y/N]]="No"), "", IF(TBL_ADD_02_Project_Info[[#This Row],[Response]]&lt;&gt;"", "", "Add"))</f>
        <v/>
      </c>
      <c r="C78" s="361" t="s">
        <v>88</v>
      </c>
      <c r="D78" s="248" t="str">
        <f>LookUp!$AH$1</f>
        <v>LUp_YesNo</v>
      </c>
      <c r="E78" s="248" t="s">
        <v>24</v>
      </c>
      <c r="F78" s="361" t="s">
        <v>24</v>
      </c>
      <c r="G78" s="361" t="s">
        <v>2207</v>
      </c>
      <c r="H78" s="361" t="s">
        <v>1800</v>
      </c>
      <c r="I78" s="248" t="str">
        <f>IF($K$18="PAS", "Yes", "No")</f>
        <v>Yes</v>
      </c>
      <c r="J78" s="248" t="s">
        <v>1895</v>
      </c>
      <c r="K78" s="359" t="s">
        <v>467</v>
      </c>
      <c r="L78" s="248"/>
      <c r="N78" s="367"/>
      <c r="O78" s="367"/>
      <c r="P78" s="367"/>
      <c r="Q78" s="367"/>
      <c r="R78" s="367"/>
      <c r="S78" s="367"/>
      <c r="T78" s="367"/>
      <c r="U78" s="367"/>
      <c r="V78" s="367"/>
      <c r="W78" s="367"/>
    </row>
    <row r="79" spans="1:23" s="70" customFormat="1">
      <c r="A79" s="361" t="s">
        <v>24</v>
      </c>
      <c r="B79" s="361" t="str">
        <f>IF(OR(TBL_ADD_02_Project_Info[[#This Row],[Type]]="Heading", TBL_ADD_02_Project_Info[[#This Row],[Y/N]]="No"), "", IF(TBL_ADD_02_Project_Info[[#This Row],[Response]]&lt;&gt;"", "", "Add"))</f>
        <v/>
      </c>
      <c r="C79" s="361" t="s">
        <v>88</v>
      </c>
      <c r="D79" s="248" t="str">
        <f>LookUp!$AH$1</f>
        <v>LUp_YesNo</v>
      </c>
      <c r="E79" s="248" t="s">
        <v>24</v>
      </c>
      <c r="F79" s="361" t="s">
        <v>24</v>
      </c>
      <c r="G79" s="361" t="s">
        <v>2208</v>
      </c>
      <c r="H79" s="361" t="s">
        <v>1800</v>
      </c>
      <c r="I79" s="248" t="str">
        <f>IF($K$18="PAS", "Yes", "No")</f>
        <v>Yes</v>
      </c>
      <c r="J79" s="248" t="s">
        <v>1896</v>
      </c>
      <c r="K79" s="359" t="s">
        <v>467</v>
      </c>
      <c r="L79" s="248"/>
      <c r="N79" s="367"/>
      <c r="O79" s="367"/>
      <c r="P79" s="367"/>
      <c r="Q79" s="367"/>
      <c r="R79" s="367"/>
      <c r="S79" s="367"/>
      <c r="T79" s="367"/>
      <c r="U79" s="367"/>
      <c r="V79" s="367"/>
      <c r="W79" s="367"/>
    </row>
    <row r="80" spans="1:23" s="70" customFormat="1">
      <c r="A80" s="361" t="s">
        <v>24</v>
      </c>
      <c r="B80" s="361" t="str">
        <f>IF(OR(TBL_ADD_02_Project_Info[[#This Row],[Type]]="Heading", TBL_ADD_02_Project_Info[[#This Row],[Y/N]]="No"), "", IF(TBL_ADD_02_Project_Info[[#This Row],[Response]]&lt;&gt;"", "", "Add"))</f>
        <v/>
      </c>
      <c r="C80" s="361" t="s">
        <v>88</v>
      </c>
      <c r="D80" s="248" t="str">
        <f>LookUp!$AH$1</f>
        <v>LUp_YesNo</v>
      </c>
      <c r="E80" s="248" t="s">
        <v>24</v>
      </c>
      <c r="F80" s="361" t="s">
        <v>24</v>
      </c>
      <c r="G80" s="361" t="s">
        <v>2209</v>
      </c>
      <c r="H80" s="361" t="s">
        <v>1800</v>
      </c>
      <c r="I80" s="248" t="str">
        <f>IF($K$18="PAS", "Yes", "No")</f>
        <v>Yes</v>
      </c>
      <c r="J80" s="248" t="s">
        <v>1897</v>
      </c>
      <c r="K80" s="359" t="s">
        <v>320</v>
      </c>
      <c r="L80" s="248"/>
      <c r="N80" s="367"/>
      <c r="O80" s="367"/>
      <c r="P80" s="367"/>
      <c r="Q80" s="367"/>
      <c r="R80" s="367"/>
      <c r="S80" s="367"/>
      <c r="T80" s="367"/>
      <c r="U80" s="367"/>
      <c r="V80" s="367"/>
      <c r="W80" s="367"/>
    </row>
    <row r="81" spans="1:23" s="70" customFormat="1" ht="13">
      <c r="A81" s="361" t="s">
        <v>1882</v>
      </c>
      <c r="B81" s="361" t="str">
        <f>IF(OR(TBL_ADD_02_Project_Info[[#This Row],[Type]]="Heading", TBL_ADD_02_Project_Info[[#This Row],[Y/N]]="No"), "", IF(TBL_ADD_02_Project_Info[[#This Row],[Response]]&lt;&gt;"", "", "Add"))</f>
        <v/>
      </c>
      <c r="C81" s="361"/>
      <c r="D81" s="361" t="s">
        <v>24</v>
      </c>
      <c r="E81" s="248" t="s">
        <v>24</v>
      </c>
      <c r="F81" s="361" t="s">
        <v>24</v>
      </c>
      <c r="G81" s="361" t="s">
        <v>24</v>
      </c>
      <c r="H81" s="361" t="s">
        <v>1800</v>
      </c>
      <c r="I81" s="248" t="str">
        <f t="shared" ref="I81:I87" si="0">IF($K$14="Open Procedure", "No", "Yes")</f>
        <v>No</v>
      </c>
      <c r="J81" s="361" t="s">
        <v>1884</v>
      </c>
      <c r="K81" s="248"/>
      <c r="L81" s="248"/>
      <c r="N81" s="367"/>
      <c r="O81" s="367"/>
      <c r="P81" s="367"/>
      <c r="Q81" s="367"/>
      <c r="R81" s="367"/>
      <c r="S81" s="367"/>
      <c r="T81" s="367"/>
      <c r="U81" s="367"/>
      <c r="V81" s="367"/>
      <c r="W81" s="367"/>
    </row>
    <row r="82" spans="1:23" s="70" customFormat="1">
      <c r="A82" s="361" t="s">
        <v>24</v>
      </c>
      <c r="B82" s="361" t="str">
        <f>IF(OR(TBL_ADD_02_Project_Info[[#This Row],[Type]]="Heading", TBL_ADD_02_Project_Info[[#This Row],[Y/N]]="No"), "", IF(TBL_ADD_02_Project_Info[[#This Row],[Response]]&lt;&gt;"", "", "Add"))</f>
        <v/>
      </c>
      <c r="C82" s="361" t="s">
        <v>88</v>
      </c>
      <c r="D82" s="248" t="str">
        <f>LookUp!$AH$1</f>
        <v>LUp_YesNo</v>
      </c>
      <c r="E82" s="248" t="s">
        <v>24</v>
      </c>
      <c r="F82" s="361" t="s">
        <v>24</v>
      </c>
      <c r="G82" s="361" t="s">
        <v>2200</v>
      </c>
      <c r="H82" s="361" t="s">
        <v>1800</v>
      </c>
      <c r="I82" s="248" t="str">
        <f t="shared" si="0"/>
        <v>No</v>
      </c>
      <c r="J82" s="248" t="s">
        <v>1310</v>
      </c>
      <c r="K82" s="359"/>
      <c r="L82" s="248"/>
      <c r="N82" s="367"/>
      <c r="O82" s="367"/>
      <c r="P82" s="367"/>
      <c r="Q82" s="367"/>
      <c r="R82" s="367"/>
      <c r="S82" s="367"/>
      <c r="T82" s="367"/>
      <c r="U82" s="367"/>
      <c r="V82" s="367"/>
      <c r="W82" s="367"/>
    </row>
    <row r="83" spans="1:23" s="70" customFormat="1">
      <c r="A83" s="361" t="s">
        <v>24</v>
      </c>
      <c r="B83" s="361" t="str">
        <f>IF(OR(TBL_ADD_02_Project_Info[[#This Row],[Type]]="Heading", TBL_ADD_02_Project_Info[[#This Row],[Y/N]]="No"), "", IF(TBL_ADD_02_Project_Info[[#This Row],[Response]]&lt;&gt;"", "", "Add"))</f>
        <v/>
      </c>
      <c r="C83" s="361" t="s">
        <v>88</v>
      </c>
      <c r="D83" s="248" t="str">
        <f>LookUp!$AH$1</f>
        <v>LUp_YesNo</v>
      </c>
      <c r="E83" s="248" t="s">
        <v>24</v>
      </c>
      <c r="F83" s="361" t="s">
        <v>24</v>
      </c>
      <c r="G83" s="361" t="s">
        <v>2210</v>
      </c>
      <c r="H83" s="361" t="s">
        <v>1800</v>
      </c>
      <c r="I83" s="248" t="str">
        <f t="shared" si="0"/>
        <v>No</v>
      </c>
      <c r="J83" s="248" t="s">
        <v>1311</v>
      </c>
      <c r="K83" s="359"/>
      <c r="L83" s="248"/>
      <c r="N83" s="367"/>
      <c r="O83" s="367"/>
      <c r="P83" s="367"/>
      <c r="Q83" s="367"/>
      <c r="R83" s="367"/>
      <c r="S83" s="367"/>
      <c r="T83" s="367"/>
      <c r="U83" s="367"/>
      <c r="V83" s="367"/>
      <c r="W83" s="367"/>
    </row>
    <row r="84" spans="1:23" s="70" customFormat="1">
      <c r="A84" s="361" t="s">
        <v>24</v>
      </c>
      <c r="B84" s="361" t="str">
        <f>IF(OR(TBL_ADD_02_Project_Info[[#This Row],[Type]]="Heading", TBL_ADD_02_Project_Info[[#This Row],[Y/N]]="No"), "", IF(TBL_ADD_02_Project_Info[[#This Row],[Response]]&lt;&gt;"", "", "Add"))</f>
        <v/>
      </c>
      <c r="C84" s="361" t="s">
        <v>88</v>
      </c>
      <c r="D84" s="248" t="str">
        <f>LookUp!$AH$1</f>
        <v>LUp_YesNo</v>
      </c>
      <c r="E84" s="248" t="s">
        <v>24</v>
      </c>
      <c r="F84" s="361" t="s">
        <v>24</v>
      </c>
      <c r="G84" s="361" t="s">
        <v>2211</v>
      </c>
      <c r="H84" s="361" t="s">
        <v>1800</v>
      </c>
      <c r="I84" s="248" t="str">
        <f t="shared" si="0"/>
        <v>No</v>
      </c>
      <c r="J84" s="248" t="s">
        <v>1312</v>
      </c>
      <c r="K84" s="359"/>
      <c r="L84" s="248"/>
      <c r="N84" s="367"/>
      <c r="O84" s="367"/>
      <c r="P84" s="367"/>
      <c r="Q84" s="367"/>
      <c r="R84" s="367"/>
      <c r="S84" s="367"/>
      <c r="T84" s="367"/>
      <c r="U84" s="367"/>
      <c r="V84" s="367"/>
      <c r="W84" s="367"/>
    </row>
    <row r="85" spans="1:23" s="70" customFormat="1" ht="13">
      <c r="A85" s="361" t="s">
        <v>1882</v>
      </c>
      <c r="B85" s="361" t="str">
        <f>IF(OR(TBL_ADD_02_Project_Info[[#This Row],[Type]]="Heading", TBL_ADD_02_Project_Info[[#This Row],[Y/N]]="No"), "", IF(TBL_ADD_02_Project_Info[[#This Row],[Response]]&lt;&gt;"", "", "Add"))</f>
        <v/>
      </c>
      <c r="C85" s="361"/>
      <c r="D85" s="361" t="s">
        <v>24</v>
      </c>
      <c r="E85" s="248" t="s">
        <v>24</v>
      </c>
      <c r="F85" s="361" t="s">
        <v>24</v>
      </c>
      <c r="G85" s="361" t="s">
        <v>24</v>
      </c>
      <c r="H85" s="361" t="s">
        <v>1800</v>
      </c>
      <c r="I85" s="248" t="str">
        <f t="shared" si="0"/>
        <v>No</v>
      </c>
      <c r="J85" s="361" t="str">
        <f>IF($K$14="Restricted Procedure",IF(REF_Lotted="Yes", "Tender - Envisaged number to invite across all lots","Tender - Envisaged number to invite"),IF(REF_Lotted="Yes","Initial tender - Envisaged number to invite across all lots","Initial tender - Envisaged number to invite"))</f>
        <v>Initial tender - Envisaged number to invite</v>
      </c>
      <c r="K85" s="248"/>
      <c r="L85" s="248"/>
      <c r="N85" s="367"/>
      <c r="O85" s="367"/>
      <c r="P85" s="367"/>
      <c r="Q85" s="367"/>
      <c r="R85" s="367"/>
      <c r="S85" s="367"/>
      <c r="T85" s="367"/>
      <c r="U85" s="367"/>
      <c r="V85" s="367"/>
      <c r="W85" s="367"/>
    </row>
    <row r="86" spans="1:23" s="70" customFormat="1">
      <c r="A86" s="361" t="s">
        <v>24</v>
      </c>
      <c r="B86" s="361" t="str">
        <f>IF(OR(TBL_ADD_02_Project_Info[[#This Row],[Type]]="Heading", TBL_ADD_02_Project_Info[[#This Row],[Y/N]]="No"), "", IF(TBL_ADD_02_Project_Info[[#This Row],[Response]]&lt;&gt;"", "", "Add"))</f>
        <v/>
      </c>
      <c r="C86" s="361" t="s">
        <v>88</v>
      </c>
      <c r="D86" s="361" t="str">
        <f>IF($K$14&lt;&gt;"", IF($K$14="Open Procedure", "", VLOOKUP($K$14, TBL_REF_03_Procedure[], 2, FALSE)), "")</f>
        <v/>
      </c>
      <c r="E86" s="248" t="s">
        <v>24</v>
      </c>
      <c r="F86" s="361" t="s">
        <v>1974</v>
      </c>
      <c r="G86" s="373" t="s">
        <v>229</v>
      </c>
      <c r="H86" s="361" t="s">
        <v>1800</v>
      </c>
      <c r="I86" s="248" t="str">
        <f t="shared" si="0"/>
        <v>No</v>
      </c>
      <c r="J86" s="248" t="str">
        <f>CONCATENATE("What is the minimum number", IF(REF_Lotted="No", "?", ", across all lots?"))</f>
        <v>What is the minimum number?</v>
      </c>
      <c r="K86" s="329"/>
      <c r="L86" s="248"/>
      <c r="N86" s="367"/>
      <c r="O86" s="367"/>
      <c r="P86" s="367"/>
      <c r="Q86" s="367"/>
      <c r="R86" s="367"/>
      <c r="S86" s="367"/>
      <c r="T86" s="367"/>
      <c r="U86" s="367"/>
      <c r="V86" s="367"/>
      <c r="W86" s="367"/>
    </row>
    <row r="87" spans="1:23" s="70" customFormat="1">
      <c r="A87" s="361" t="s">
        <v>24</v>
      </c>
      <c r="B87" s="361" t="str">
        <f>IF(OR(TBL_ADD_02_Project_Info[[#This Row],[Type]]="Heading", TBL_ADD_02_Project_Info[[#This Row],[Y/N]]="No"), "", IF(TBL_ADD_02_Project_Info[[#This Row],[Response]]&lt;&gt;"", "", "Add"))</f>
        <v/>
      </c>
      <c r="C87" s="361" t="s">
        <v>88</v>
      </c>
      <c r="D87" s="361">
        <f>K86</f>
        <v>0</v>
      </c>
      <c r="E87" s="248" t="s">
        <v>24</v>
      </c>
      <c r="F87" s="361" t="s">
        <v>1974</v>
      </c>
      <c r="G87" s="419" t="s">
        <v>231</v>
      </c>
      <c r="H87" s="361" t="s">
        <v>1800</v>
      </c>
      <c r="I87" s="248" t="str">
        <f t="shared" si="0"/>
        <v>No</v>
      </c>
      <c r="J87" s="248" t="str">
        <f>CONCATENATE("What is the maximum number", IF(REF_Lotted="No", "?", ", across all lots?"))</f>
        <v>What is the maximum number?</v>
      </c>
      <c r="K87" s="329"/>
      <c r="L87" s="248"/>
      <c r="N87" s="367"/>
      <c r="O87" s="367"/>
      <c r="P87" s="367"/>
      <c r="Q87" s="367"/>
      <c r="R87" s="367"/>
      <c r="S87" s="367"/>
      <c r="T87" s="367"/>
      <c r="U87" s="367"/>
      <c r="V87" s="367"/>
      <c r="W87" s="367"/>
    </row>
    <row r="88" spans="1:23" s="70" customFormat="1" ht="13">
      <c r="A88" s="361" t="s">
        <v>1882</v>
      </c>
      <c r="B88" s="361" t="str">
        <f>IF(OR(TBL_ADD_02_Project_Info[[#This Row],[Type]]="Heading", TBL_ADD_02_Project_Info[[#This Row],[Y/N]]="No"), "", IF(TBL_ADD_02_Project_Info[[#This Row],[Response]]&lt;&gt;"", "", "Add"))</f>
        <v/>
      </c>
      <c r="C88" s="361"/>
      <c r="D88" s="361" t="s">
        <v>24</v>
      </c>
      <c r="E88" s="248" t="s">
        <v>24</v>
      </c>
      <c r="F88" s="361" t="s">
        <v>24</v>
      </c>
      <c r="G88" s="361" t="s">
        <v>24</v>
      </c>
      <c r="H88" s="361" t="s">
        <v>1800</v>
      </c>
      <c r="I88" s="248" t="str">
        <f t="shared" ref="I88:I93" si="1">IF(OR($K$14="Open Procedure", $K$14="Restricted Procedure"),"No", "Yes")</f>
        <v>No</v>
      </c>
      <c r="J88" s="361" t="str">
        <f>IF(REF_Lotted="Yes","Negotiate/Dialogue - Envisaged number to invite across all lots","Negotiate/Dialogue - Envisaged number to invite")</f>
        <v>Negotiate/Dialogue - Envisaged number to invite</v>
      </c>
      <c r="K88" s="248"/>
      <c r="L88" s="248"/>
      <c r="N88" s="367"/>
      <c r="O88" s="367"/>
      <c r="P88" s="367"/>
      <c r="Q88" s="367"/>
      <c r="R88" s="367"/>
      <c r="S88" s="367"/>
      <c r="T88" s="367"/>
      <c r="U88" s="367"/>
      <c r="V88" s="367"/>
      <c r="W88" s="367"/>
    </row>
    <row r="89" spans="1:23" s="70" customFormat="1">
      <c r="A89" s="361" t="s">
        <v>24</v>
      </c>
      <c r="B89" s="361" t="str">
        <f>IF(OR(TBL_ADD_02_Project_Info[[#This Row],[Type]]="Heading", TBL_ADD_02_Project_Info[[#This Row],[Y/N]]="No"), "", IF(TBL_ADD_02_Project_Info[[#This Row],[Response]]&lt;&gt;"", "", "Add"))</f>
        <v/>
      </c>
      <c r="C89" s="361" t="s">
        <v>88</v>
      </c>
      <c r="D89" s="361" t="s">
        <v>24</v>
      </c>
      <c r="E89" s="361">
        <f>K87</f>
        <v>0</v>
      </c>
      <c r="F89" s="361" t="s">
        <v>1974</v>
      </c>
      <c r="G89" s="373" t="s">
        <v>581</v>
      </c>
      <c r="H89" s="361" t="s">
        <v>1800</v>
      </c>
      <c r="I89" s="248" t="str">
        <f t="shared" si="1"/>
        <v>No</v>
      </c>
      <c r="J89" s="248" t="str">
        <f>CONCATENATE("What is the minimum number", IF(REF_Lotted="No", "?", ", across all lots?"))</f>
        <v>What is the minimum number?</v>
      </c>
      <c r="K89" s="329"/>
      <c r="L89" s="248"/>
      <c r="N89" s="367"/>
      <c r="O89" s="367"/>
      <c r="P89" s="367"/>
      <c r="Q89" s="367"/>
      <c r="R89" s="367"/>
      <c r="S89" s="367"/>
      <c r="T89" s="367"/>
      <c r="U89" s="367"/>
      <c r="V89" s="367"/>
      <c r="W89" s="367"/>
    </row>
    <row r="90" spans="1:23" s="70" customFormat="1">
      <c r="A90" s="361" t="s">
        <v>24</v>
      </c>
      <c r="B90" s="361" t="str">
        <f>IF(OR(TBL_ADD_02_Project_Info[[#This Row],[Type]]="Heading", TBL_ADD_02_Project_Info[[#This Row],[Y/N]]="No"), "", IF(TBL_ADD_02_Project_Info[[#This Row],[Response]]&lt;&gt;"", "", "Add"))</f>
        <v/>
      </c>
      <c r="C90" s="361" t="s">
        <v>88</v>
      </c>
      <c r="D90" s="361">
        <f>K89</f>
        <v>0</v>
      </c>
      <c r="E90" s="248" t="s">
        <v>24</v>
      </c>
      <c r="F90" s="361" t="s">
        <v>1974</v>
      </c>
      <c r="G90" s="373" t="s">
        <v>582</v>
      </c>
      <c r="H90" s="361" t="s">
        <v>1800</v>
      </c>
      <c r="I90" s="248" t="str">
        <f t="shared" si="1"/>
        <v>No</v>
      </c>
      <c r="J90" s="248" t="str">
        <f>CONCATENATE("What is the maximum number", IF(REF_Lotted="No", "?", ", across all lots?"))</f>
        <v>What is the maximum number?</v>
      </c>
      <c r="K90" s="329"/>
      <c r="L90" s="248"/>
      <c r="N90" s="367"/>
      <c r="O90" s="367"/>
      <c r="P90" s="367"/>
      <c r="Q90" s="367"/>
      <c r="R90" s="367"/>
      <c r="S90" s="367"/>
      <c r="T90" s="367"/>
      <c r="U90" s="367"/>
      <c r="V90" s="367"/>
      <c r="W90" s="367"/>
    </row>
    <row r="91" spans="1:23" s="70" customFormat="1" ht="13">
      <c r="A91" s="361" t="s">
        <v>1882</v>
      </c>
      <c r="B91" s="361" t="str">
        <f>IF(OR(TBL_ADD_02_Project_Info[[#This Row],[Type]]="Heading", TBL_ADD_02_Project_Info[[#This Row],[Y/N]]="No"), "", IF(TBL_ADD_02_Project_Info[[#This Row],[Response]]&lt;&gt;"", "", "Add"))</f>
        <v/>
      </c>
      <c r="C91" s="361"/>
      <c r="D91" s="361" t="s">
        <v>24</v>
      </c>
      <c r="E91" s="248" t="s">
        <v>24</v>
      </c>
      <c r="F91" s="361" t="s">
        <v>24</v>
      </c>
      <c r="G91" s="361" t="s">
        <v>24</v>
      </c>
      <c r="H91" s="361" t="s">
        <v>1800</v>
      </c>
      <c r="I91" s="248" t="str">
        <f t="shared" si="1"/>
        <v>No</v>
      </c>
      <c r="J91" s="361" t="str">
        <f>IF(REF_Lotted="Yes","Final Tender - Envisaged number to invite across all lots","Final Tender - Envisaged number to invite")</f>
        <v>Final Tender - Envisaged number to invite</v>
      </c>
      <c r="K91" s="248"/>
      <c r="L91" s="248"/>
      <c r="N91" s="367"/>
      <c r="O91" s="367"/>
      <c r="P91" s="367"/>
      <c r="Q91" s="367"/>
      <c r="R91" s="367"/>
      <c r="S91" s="367"/>
      <c r="T91" s="367"/>
      <c r="U91" s="367"/>
      <c r="V91" s="367"/>
      <c r="W91" s="367"/>
    </row>
    <row r="92" spans="1:23" s="70" customFormat="1">
      <c r="A92" s="361" t="s">
        <v>24</v>
      </c>
      <c r="B92" s="361" t="str">
        <f>IF(OR(TBL_ADD_02_Project_Info[[#This Row],[Type]]="Heading", TBL_ADD_02_Project_Info[[#This Row],[Y/N]]="No"), "", IF(TBL_ADD_02_Project_Info[[#This Row],[Response]]&lt;&gt;"", "", "Add"))</f>
        <v/>
      </c>
      <c r="C92" s="361" t="s">
        <v>88</v>
      </c>
      <c r="D92" s="361" t="s">
        <v>24</v>
      </c>
      <c r="E92" s="361">
        <f>K90</f>
        <v>0</v>
      </c>
      <c r="F92" s="361" t="s">
        <v>1974</v>
      </c>
      <c r="G92" s="373" t="s">
        <v>1798</v>
      </c>
      <c r="H92" s="361" t="s">
        <v>1800</v>
      </c>
      <c r="I92" s="248" t="str">
        <f t="shared" si="1"/>
        <v>No</v>
      </c>
      <c r="J92" s="248" t="str">
        <f>CONCATENATE("What is the minimum number", IF(REF_Lotted="No", "?", ", across all lots?"))</f>
        <v>What is the minimum number?</v>
      </c>
      <c r="K92" s="329"/>
      <c r="L92" s="248"/>
      <c r="N92" s="367"/>
      <c r="O92" s="367"/>
      <c r="P92" s="367"/>
      <c r="Q92" s="367"/>
      <c r="R92" s="367"/>
      <c r="S92" s="367"/>
      <c r="T92" s="367"/>
      <c r="U92" s="367"/>
      <c r="V92" s="367"/>
      <c r="W92" s="367"/>
    </row>
    <row r="93" spans="1:23" s="70" customFormat="1">
      <c r="A93" s="361" t="s">
        <v>24</v>
      </c>
      <c r="B93" s="361" t="str">
        <f>IF(OR(TBL_ADD_02_Project_Info[[#This Row],[Type]]="Heading", TBL_ADD_02_Project_Info[[#This Row],[Y/N]]="No"), "", IF(TBL_ADD_02_Project_Info[[#This Row],[Response]]&lt;&gt;"", "", "Add"))</f>
        <v/>
      </c>
      <c r="C93" s="361" t="s">
        <v>88</v>
      </c>
      <c r="D93" s="361">
        <f>K92</f>
        <v>0</v>
      </c>
      <c r="E93" s="248" t="s">
        <v>24</v>
      </c>
      <c r="F93" s="361" t="s">
        <v>1974</v>
      </c>
      <c r="G93" s="373" t="s">
        <v>1799</v>
      </c>
      <c r="H93" s="361" t="s">
        <v>1800</v>
      </c>
      <c r="I93" s="248" t="str">
        <f t="shared" si="1"/>
        <v>No</v>
      </c>
      <c r="J93" s="248" t="str">
        <f>CONCATENATE("What is the maximum number",IF(REF_Lotted="No","?",", across all lots?"))</f>
        <v>What is the maximum number?</v>
      </c>
      <c r="K93" s="329"/>
      <c r="L93" s="248"/>
      <c r="N93" s="367"/>
      <c r="O93" s="367"/>
      <c r="P93" s="367"/>
      <c r="Q93" s="367"/>
      <c r="R93" s="367"/>
      <c r="S93" s="367"/>
      <c r="T93" s="367"/>
      <c r="U93" s="367"/>
      <c r="V93" s="367"/>
      <c r="W93" s="367"/>
    </row>
    <row r="94" spans="1:23" s="70" customFormat="1" ht="13">
      <c r="A94" s="361" t="s">
        <v>1882</v>
      </c>
      <c r="B94" s="361" t="str">
        <f>IF(OR(TBL_ADD_02_Project_Info[[#This Row],[Type]]="Heading", TBL_ADD_02_Project_Info[[#This Row],[Y/N]]="No"), "", IF(TBL_ADD_02_Project_Info[[#This Row],[Response]]&lt;&gt;"", "", "Add"))</f>
        <v/>
      </c>
      <c r="C94" s="248"/>
      <c r="D94" s="361" t="s">
        <v>24</v>
      </c>
      <c r="E94" s="248" t="s">
        <v>24</v>
      </c>
      <c r="F94" s="361" t="s">
        <v>24</v>
      </c>
      <c r="G94" s="361" t="s">
        <v>24</v>
      </c>
      <c r="H94" s="361" t="s">
        <v>1800</v>
      </c>
      <c r="I94" s="248" t="s">
        <v>467</v>
      </c>
      <c r="J94" s="248" t="s">
        <v>111</v>
      </c>
      <c r="K94" s="248"/>
      <c r="L94" s="248"/>
      <c r="N94" s="367"/>
      <c r="O94" s="367"/>
      <c r="P94" s="367"/>
      <c r="Q94" s="367"/>
      <c r="R94" s="367"/>
      <c r="S94" s="367"/>
      <c r="T94" s="367"/>
      <c r="U94" s="367"/>
      <c r="V94" s="367"/>
      <c r="W94" s="367"/>
    </row>
    <row r="95" spans="1:23" s="70" customFormat="1">
      <c r="A95" s="361" t="s">
        <v>24</v>
      </c>
      <c r="B95" s="361" t="str">
        <f>IF(OR(TBL_ADD_02_Project_Info[[#This Row],[Type]]="Heading", TBL_ADD_02_Project_Info[[#This Row],[Y/N]]="No"), "", IF(TBL_ADD_02_Project_Info[[#This Row],[Response]]&lt;&gt;"", "", "Add"))</f>
        <v/>
      </c>
      <c r="C95" s="361" t="s">
        <v>88</v>
      </c>
      <c r="D95" s="361" t="str">
        <f>LookUp!$O$1</f>
        <v>LUp_Marks</v>
      </c>
      <c r="E95" s="248" t="s">
        <v>24</v>
      </c>
      <c r="F95" s="361" t="s">
        <v>24</v>
      </c>
      <c r="G95" s="361" t="s">
        <v>104</v>
      </c>
      <c r="H95" s="361" t="s">
        <v>1800</v>
      </c>
      <c r="I95" s="248" t="str">
        <f>IF(REF_Split_Price=100, "No", "Yes")</f>
        <v>Yes</v>
      </c>
      <c r="J95" s="248" t="s">
        <v>102</v>
      </c>
      <c r="K95" s="359" t="s">
        <v>2025</v>
      </c>
      <c r="L95" s="248">
        <f>IF(TBL_ADD_02_Project_Info[[#This Row],[Response]]&lt;&gt;"", IF(TBL_ADD_02_Project_Info[[#This Row],[Response]]=LookUp!$O$2, 5, IF(TBL_ADD_02_Project_Info[[#This Row],[Response]]=LookUp!$O$3, 10, "Error")), "")</f>
        <v>5</v>
      </c>
      <c r="N95" s="367"/>
      <c r="O95" s="367"/>
      <c r="P95" s="367"/>
      <c r="Q95" s="367"/>
      <c r="R95" s="367"/>
      <c r="S95" s="367"/>
      <c r="T95" s="367"/>
      <c r="U95" s="367"/>
      <c r="V95" s="367"/>
      <c r="W95" s="367"/>
    </row>
    <row r="96" spans="1:23" s="70" customFormat="1">
      <c r="A96" s="361" t="s">
        <v>24</v>
      </c>
      <c r="B96" s="361" t="str">
        <f>IF(OR(TBL_ADD_02_Project_Info[[#This Row],[Type]]="Heading", TBL_ADD_02_Project_Info[[#This Row],[Y/N]]="No"), "", IF(TBL_ADD_02_Project_Info[[#This Row],[Response]]&lt;&gt;"", "", "Add"))</f>
        <v/>
      </c>
      <c r="C96" s="405" t="str">
        <f>IF(TBL_ADD_02_Project_Info[[#This Row],[Comments]]&lt;&gt;"", "Error!", "Shade")</f>
        <v>Shade</v>
      </c>
      <c r="D96" s="361">
        <v>0</v>
      </c>
      <c r="E96" s="248">
        <v>100</v>
      </c>
      <c r="F96" s="361" t="s">
        <v>24</v>
      </c>
      <c r="G96" s="361" t="s">
        <v>2152</v>
      </c>
      <c r="H96" s="361" t="s">
        <v>1800</v>
      </c>
      <c r="I96" s="248" t="str">
        <f>IF(REF_Split_Tech=100, "No", "Yes")</f>
        <v>Yes</v>
      </c>
      <c r="J96" s="248" t="s">
        <v>14</v>
      </c>
      <c r="K96" s="248">
        <v>50</v>
      </c>
      <c r="L96" s="248" t="str">
        <f>IF(AND(REF_Split_Price&lt;&gt;"", REF_Split_Tech&lt;&gt;""),IF(SUM(REF_Split_Price, REF_Split_Tech)=100, "", "NOTE:  Tech/Price split does not equal 100!"), "")</f>
        <v/>
      </c>
      <c r="N96" s="367"/>
      <c r="O96" s="367"/>
      <c r="P96" s="367"/>
      <c r="Q96" s="367"/>
      <c r="R96" s="367"/>
      <c r="S96" s="367"/>
      <c r="T96" s="367"/>
      <c r="U96" s="367"/>
      <c r="V96" s="367"/>
      <c r="W96" s="367"/>
    </row>
    <row r="97" spans="1:23" s="70" customFormat="1">
      <c r="A97" s="361" t="s">
        <v>24</v>
      </c>
      <c r="B97" s="361" t="str">
        <f>IF(OR(TBL_ADD_02_Project_Info[[#This Row],[Type]]="Heading", TBL_ADD_02_Project_Info[[#This Row],[Y/N]]="No"), "", IF(TBL_ADD_02_Project_Info[[#This Row],[Response]]&lt;&gt;"", "", "Add"))</f>
        <v/>
      </c>
      <c r="C97" s="405" t="str">
        <f>IF(TBL_ADD_02_Project_Info[[#This Row],[Comments]]&lt;&gt;"", IF(TBL_ADD_02_Project_Info[[#This Row],[Comments]]="NOTE: Add tech weightings", "Note", "Error!"), "Shade")</f>
        <v>Shade</v>
      </c>
      <c r="D97" s="248">
        <v>0</v>
      </c>
      <c r="E97" s="248">
        <v>100</v>
      </c>
      <c r="F97" s="361" t="s">
        <v>24</v>
      </c>
      <c r="G97" s="361" t="s">
        <v>2153</v>
      </c>
      <c r="H97" s="361" t="s">
        <v>1800</v>
      </c>
      <c r="I97" s="248" t="str">
        <f>IF(REF_Split_Price=100, "No", "Yes")</f>
        <v>Yes</v>
      </c>
      <c r="J97" s="248" t="s">
        <v>96</v>
      </c>
      <c r="K97" s="248">
        <v>50</v>
      </c>
      <c r="L97" s="248" t="str">
        <f>IF(AND(REF_Split_Price&lt;&gt;"", REF_Split_Tech&lt;&gt;""), IF(SUM(REF_Split_Price,REF_Split_Tech)=100, IF(REF_Int_or_SV="Not applicable", IF(AND(REF_Split_Tech&lt;&gt;"", REF_Tech_Weighting&lt;&gt;""), IF(REF_Tech_Weighting=REF_Split_Tech, "", CONCATENATE("Error - Tech weighting does not equal ", REF_Split_Tech, "!")), "NOTE: Add tech weightings"), IF(AND(REF_Split_Tech&lt;&gt;"", REF_Tech_Weighting&lt;&gt;"", REF_IntSV_Weighting&lt;&gt;""), IF(SUM(REF_Tech_Weighting,REF_IntSV_Weighting)=REF_Split_Tech, "", CONCATENATE("Error - Tech weightings do not equal ", REF_Split_Tech, "!")), "NOTE: Add tech weightings")), "Error - Tech/Price split does not equal 100!"), "")</f>
        <v/>
      </c>
      <c r="N97" s="367"/>
      <c r="O97" s="367"/>
      <c r="P97" s="367"/>
      <c r="Q97" s="367"/>
      <c r="R97" s="367"/>
      <c r="S97" s="367"/>
      <c r="T97" s="367"/>
      <c r="U97" s="367"/>
      <c r="V97" s="367"/>
      <c r="W97" s="367"/>
    </row>
    <row r="98" spans="1:23" s="70" customFormat="1">
      <c r="A98" s="361" t="s">
        <v>24</v>
      </c>
      <c r="B98" s="361" t="str">
        <f>IF(OR(TBL_ADD_02_Project_Info[[#This Row],[Type]]="Heading", TBL_ADD_02_Project_Info[[#This Row],[Y/N]]="No"), "", IF(TBL_ADD_02_Project_Info[[#This Row],[Response]]&lt;&gt;"", "", "Add"))</f>
        <v/>
      </c>
      <c r="C98" s="248" t="s">
        <v>88</v>
      </c>
      <c r="D98" s="248" t="str">
        <f>LookUp!$L$1</f>
        <v>LUp_IntSV</v>
      </c>
      <c r="E98" s="248" t="s">
        <v>24</v>
      </c>
      <c r="F98" s="361" t="s">
        <v>24</v>
      </c>
      <c r="G98" s="361" t="s">
        <v>539</v>
      </c>
      <c r="H98" s="361" t="s">
        <v>1800</v>
      </c>
      <c r="I98" s="248" t="str">
        <f>IF(REF_Split_Price=100, "No", "Yes")</f>
        <v>Yes</v>
      </c>
      <c r="J98" s="248" t="s">
        <v>1898</v>
      </c>
      <c r="K98" s="359" t="s">
        <v>2027</v>
      </c>
      <c r="L98" s="248"/>
      <c r="N98" s="367"/>
      <c r="O98" s="367"/>
      <c r="P98" s="367"/>
      <c r="Q98" s="367"/>
      <c r="R98" s="367"/>
      <c r="S98" s="367"/>
      <c r="T98" s="367"/>
      <c r="U98" s="367"/>
      <c r="V98" s="367"/>
      <c r="W98" s="367"/>
    </row>
    <row r="99" spans="1:23" s="70" customFormat="1" ht="13">
      <c r="A99" s="361" t="s">
        <v>1882</v>
      </c>
      <c r="B99" s="361" t="str">
        <f>IF(OR(TBL_ADD_02_Project_Info[[#This Row],[Type]]="Heading", TBL_ADD_02_Project_Info[[#This Row],[Y/N]]="No"), "", IF(TBL_ADD_02_Project_Info[[#This Row],[Response]]&lt;&gt;"", "", "Add"))</f>
        <v/>
      </c>
      <c r="C99" s="248"/>
      <c r="D99" s="361" t="s">
        <v>24</v>
      </c>
      <c r="E99" s="248" t="s">
        <v>24</v>
      </c>
      <c r="F99" s="361" t="s">
        <v>24</v>
      </c>
      <c r="G99" s="361" t="s">
        <v>24</v>
      </c>
      <c r="H99" s="361" t="s">
        <v>1800</v>
      </c>
      <c r="I99" s="248" t="s">
        <v>467</v>
      </c>
      <c r="J99" s="248" t="s">
        <v>2035</v>
      </c>
      <c r="K99" s="248"/>
      <c r="L99" s="248"/>
      <c r="N99" s="367"/>
      <c r="O99" s="367"/>
      <c r="P99" s="367"/>
      <c r="Q99" s="367"/>
      <c r="R99" s="367"/>
      <c r="S99" s="367"/>
      <c r="T99" s="367"/>
      <c r="U99" s="367"/>
      <c r="V99" s="367"/>
      <c r="W99" s="367"/>
    </row>
    <row r="100" spans="1:23" s="70" customFormat="1">
      <c r="A100" s="361" t="s">
        <v>24</v>
      </c>
      <c r="B100" s="361" t="str">
        <f>IF(OR(TBL_ADD_02_Project_Info[[#This Row],[Type]]="Heading", TBL_ADD_02_Project_Info[[#This Row],[Y/N]]="No"), "", IF(TBL_ADD_02_Project_Info[[#This Row],[Response]]&lt;&gt;"", "", "Add"))</f>
        <v/>
      </c>
      <c r="C100" s="248" t="s">
        <v>88</v>
      </c>
      <c r="D100" s="248" t="str">
        <f>LookUp!$AH$1</f>
        <v>LUp_YesNo</v>
      </c>
      <c r="E100" s="248" t="s">
        <v>24</v>
      </c>
      <c r="F100" s="361" t="s">
        <v>24</v>
      </c>
      <c r="G100" s="361" t="s">
        <v>24</v>
      </c>
      <c r="H100" s="361" t="s">
        <v>1800</v>
      </c>
      <c r="I100" s="248" t="s">
        <v>467</v>
      </c>
      <c r="J100" s="248" t="s">
        <v>2050</v>
      </c>
      <c r="K100" s="248" t="s">
        <v>467</v>
      </c>
      <c r="L100" s="248"/>
      <c r="N100" s="367"/>
      <c r="O100" s="367"/>
      <c r="P100" s="367"/>
      <c r="Q100" s="367"/>
      <c r="R100" s="367"/>
      <c r="S100" s="367"/>
      <c r="T100" s="367"/>
      <c r="U100" s="367"/>
      <c r="V100" s="367"/>
      <c r="W100" s="367"/>
    </row>
    <row r="101" spans="1:23" s="70" customFormat="1">
      <c r="A101" s="361" t="s">
        <v>24</v>
      </c>
      <c r="B101" s="361" t="str">
        <f>IF(OR(TBL_ADD_02_Project_Info[[#This Row],[Type]]="Heading", TBL_ADD_02_Project_Info[[#This Row],[Y/N]]="No"), "", IF(TBL_ADD_02_Project_Info[[#This Row],[Response]]&lt;&gt;"", "", "Add"))</f>
        <v/>
      </c>
      <c r="C101" s="248" t="s">
        <v>88</v>
      </c>
      <c r="D101" s="248" t="str">
        <f>LookUp!$AH$1</f>
        <v>LUp_YesNo</v>
      </c>
      <c r="E101" s="248" t="s">
        <v>24</v>
      </c>
      <c r="F101" s="361" t="s">
        <v>24</v>
      </c>
      <c r="G101" s="361" t="s">
        <v>24</v>
      </c>
      <c r="H101" s="361" t="s">
        <v>1800</v>
      </c>
      <c r="I101" s="248" t="str">
        <f>IF($K$18="PAS", "No", "Yes")</f>
        <v>No</v>
      </c>
      <c r="J101" s="248" t="s">
        <v>1918</v>
      </c>
      <c r="K101" s="248"/>
      <c r="L101" s="248"/>
      <c r="N101" s="367"/>
      <c r="O101" s="367"/>
      <c r="P101" s="367"/>
      <c r="Q101" s="367"/>
      <c r="R101" s="367"/>
      <c r="S101" s="367"/>
      <c r="T101" s="367"/>
      <c r="U101" s="367"/>
      <c r="V101" s="367"/>
      <c r="W101" s="367"/>
    </row>
    <row r="102" spans="1:23" s="70" customFormat="1">
      <c r="A102" s="361" t="s">
        <v>24</v>
      </c>
      <c r="B102" s="361" t="str">
        <f>IF(OR(TBL_ADD_02_Project_Info[[#This Row],[Type]]="Heading", TBL_ADD_02_Project_Info[[#This Row],[Y/N]]="No"), "", IF(TBL_ADD_02_Project_Info[[#This Row],[Response]]&lt;&gt;"", "", "Add"))</f>
        <v/>
      </c>
      <c r="C102" s="361" t="s">
        <v>88</v>
      </c>
      <c r="D102" s="248" t="str">
        <f>LookUp!$AH$1</f>
        <v>LUp_YesNo</v>
      </c>
      <c r="E102" s="248" t="s">
        <v>24</v>
      </c>
      <c r="F102" s="361" t="s">
        <v>24</v>
      </c>
      <c r="G102" s="361" t="s">
        <v>24</v>
      </c>
      <c r="H102" s="361" t="s">
        <v>1800</v>
      </c>
      <c r="I102" s="248" t="str">
        <f>IF(REF_Select_Include="No", "No", "Yes")</f>
        <v>Yes</v>
      </c>
      <c r="J102" s="248" t="s">
        <v>393</v>
      </c>
      <c r="K102" s="248" t="s">
        <v>320</v>
      </c>
      <c r="L102" s="248"/>
      <c r="N102" s="367"/>
      <c r="O102" s="367"/>
      <c r="P102" s="367"/>
      <c r="Q102" s="367"/>
      <c r="R102" s="367"/>
      <c r="S102" s="367"/>
      <c r="T102" s="367"/>
      <c r="U102" s="367"/>
      <c r="V102" s="367"/>
      <c r="W102" s="367"/>
    </row>
    <row r="103" spans="1:23" s="70" customFormat="1">
      <c r="A103" s="361" t="s">
        <v>24</v>
      </c>
      <c r="B103" s="361" t="str">
        <f>IF(OR(TBL_ADD_02_Project_Info[[#This Row],[Type]]="Heading", TBL_ADD_02_Project_Info[[#This Row],[Y/N]]="No"), "", IF(TBL_ADD_02_Project_Info[[#This Row],[Response]]&lt;&gt;"", "", "Add"))</f>
        <v/>
      </c>
      <c r="C103" s="361" t="s">
        <v>88</v>
      </c>
      <c r="D103" s="248" t="str">
        <f>LookUp!$N$1</f>
        <v>LUp_Marking</v>
      </c>
      <c r="E103" s="248" t="s">
        <v>24</v>
      </c>
      <c r="F103" s="361" t="s">
        <v>24</v>
      </c>
      <c r="G103" s="361" t="s">
        <v>24</v>
      </c>
      <c r="H103" s="361" t="s">
        <v>1800</v>
      </c>
      <c r="I103" s="248" t="str">
        <f>IF(REF_Select_Include="No", "No", "Yes")</f>
        <v>Yes</v>
      </c>
      <c r="J103" s="248" t="s">
        <v>1785</v>
      </c>
      <c r="K103" s="248" t="s">
        <v>2031</v>
      </c>
      <c r="L103" s="248"/>
      <c r="N103" s="367"/>
      <c r="O103" s="367"/>
      <c r="P103" s="367"/>
      <c r="Q103" s="367"/>
      <c r="R103" s="367"/>
      <c r="S103" s="367"/>
      <c r="T103" s="367"/>
      <c r="U103" s="367"/>
      <c r="V103" s="367"/>
      <c r="W103" s="367"/>
    </row>
    <row r="104" spans="1:23" s="70" customFormat="1">
      <c r="A104" s="361" t="s">
        <v>24</v>
      </c>
      <c r="B104" s="361" t="str">
        <f>IF(OR(TBL_ADD_02_Project_Info[[#This Row],[Type]]="Heading", TBL_ADD_02_Project_Info[[#This Row],[Y/N]]="No"), "", IF(TBL_ADD_02_Project_Info[[#This Row],[Response]]&lt;&gt;"", "", "Add"))</f>
        <v/>
      </c>
      <c r="C104" s="361" t="s">
        <v>88</v>
      </c>
      <c r="D104" s="248" t="str">
        <f>LookUp!$AH$1</f>
        <v>LUp_YesNo</v>
      </c>
      <c r="E104" s="248" t="s">
        <v>24</v>
      </c>
      <c r="F104" s="361" t="s">
        <v>24</v>
      </c>
      <c r="G104" s="361" t="s">
        <v>24</v>
      </c>
      <c r="H104" s="361" t="s">
        <v>1800</v>
      </c>
      <c r="I104" s="248" t="str">
        <f>IF(REF_Select_Include="No", "No", IF(REF_Lotted="No", "No", "Yes"))</f>
        <v>No</v>
      </c>
      <c r="J104" s="248" t="s">
        <v>1899</v>
      </c>
      <c r="K104" s="248"/>
      <c r="L104" s="248"/>
      <c r="N104" s="367"/>
      <c r="O104" s="367"/>
      <c r="P104" s="367"/>
      <c r="Q104" s="367"/>
      <c r="R104" s="367"/>
      <c r="S104" s="367"/>
      <c r="T104" s="367"/>
      <c r="U104" s="367"/>
      <c r="V104" s="367"/>
      <c r="W104" s="367"/>
    </row>
    <row r="105" spans="1:23" s="70" customFormat="1">
      <c r="A105" s="361" t="s">
        <v>24</v>
      </c>
      <c r="B105" s="361" t="str">
        <f>IF(OR(TBL_ADD_02_Project_Info[[#This Row],[Type]]="Heading", TBL_ADD_02_Project_Info[[#This Row],[Y/N]]="No"), "", IF(TBL_ADD_02_Project_Info[[#This Row],[Response]]&lt;&gt;"", "", "Add"))</f>
        <v/>
      </c>
      <c r="C105" s="361" t="s">
        <v>88</v>
      </c>
      <c r="D105" s="248" t="str">
        <f>LookUp!$AH$1</f>
        <v>LUp_YesNo</v>
      </c>
      <c r="E105" s="248" t="s">
        <v>24</v>
      </c>
      <c r="F105" s="361" t="s">
        <v>24</v>
      </c>
      <c r="G105" s="361" t="s">
        <v>24</v>
      </c>
      <c r="H105" s="361" t="s">
        <v>1800</v>
      </c>
      <c r="I105" s="248" t="str">
        <f>IF(REF_Select_Include="No", "No", IF(OR(REF_Lotted="No", REF_Select_1_Qs="No"), "No", "Yes"))</f>
        <v>No</v>
      </c>
      <c r="J105" s="248" t="s">
        <v>1900</v>
      </c>
      <c r="K105" s="248"/>
      <c r="L105" s="248"/>
      <c r="N105" s="367"/>
      <c r="O105" s="367"/>
      <c r="P105" s="367"/>
      <c r="Q105" s="367"/>
      <c r="R105" s="367"/>
      <c r="S105" s="367"/>
      <c r="T105" s="367"/>
      <c r="U105" s="367"/>
      <c r="V105" s="367"/>
      <c r="W105" s="367"/>
    </row>
    <row r="106" spans="1:23" s="70" customFormat="1">
      <c r="A106" s="361" t="s">
        <v>24</v>
      </c>
      <c r="B106" s="361" t="str">
        <f>IF(OR(TBL_ADD_02_Project_Info[[#This Row],[Type]]="Heading", TBL_ADD_02_Project_Info[[#This Row],[Y/N]]="No"), "", IF(TBL_ADD_02_Project_Info[[#This Row],[Response]]&lt;&gt;"", "", "Add"))</f>
        <v/>
      </c>
      <c r="C106" s="361" t="s">
        <v>88</v>
      </c>
      <c r="D106" s="248" t="str">
        <f>LookUp!$AH$1</f>
        <v>LUp_YesNo</v>
      </c>
      <c r="E106" s="248" t="s">
        <v>24</v>
      </c>
      <c r="F106" s="361" t="s">
        <v>24</v>
      </c>
      <c r="G106" s="361" t="s">
        <v>24</v>
      </c>
      <c r="H106" s="361" t="s">
        <v>1800</v>
      </c>
      <c r="I106" s="248" t="str">
        <f>IF(REF_Select_Include="No", "No", "Yes")</f>
        <v>Yes</v>
      </c>
      <c r="J106" s="248" t="s">
        <v>2213</v>
      </c>
      <c r="K106" s="248" t="s">
        <v>320</v>
      </c>
      <c r="L106" s="248"/>
      <c r="N106" s="367"/>
      <c r="O106" s="367"/>
      <c r="P106" s="367"/>
      <c r="Q106" s="367"/>
      <c r="R106" s="367"/>
      <c r="S106" s="367"/>
      <c r="T106" s="367"/>
      <c r="U106" s="367"/>
      <c r="V106" s="367"/>
      <c r="W106" s="367"/>
    </row>
    <row r="107" spans="1:23" s="70" customFormat="1" ht="13">
      <c r="A107" s="361" t="s">
        <v>1882</v>
      </c>
      <c r="B107" s="361" t="str">
        <f>IF(OR(TBL_ADD_02_Project_Info[[#This Row],[Type]]="Heading", TBL_ADD_02_Project_Info[[#This Row],[Y/N]]="No"), "", IF(TBL_ADD_02_Project_Info[[#This Row],[Response]]&lt;&gt;"", "", "Add"))</f>
        <v/>
      </c>
      <c r="C107" s="248"/>
      <c r="D107" s="361" t="s">
        <v>24</v>
      </c>
      <c r="E107" s="248" t="s">
        <v>24</v>
      </c>
      <c r="F107" s="361" t="s">
        <v>24</v>
      </c>
      <c r="G107" s="361" t="s">
        <v>24</v>
      </c>
      <c r="H107" s="361" t="s">
        <v>1800</v>
      </c>
      <c r="I107" s="248" t="str">
        <f>IF(REF_Split_Price=100, "No", "Yes")</f>
        <v>Yes</v>
      </c>
      <c r="J107" s="248" t="s">
        <v>1885</v>
      </c>
      <c r="K107" s="248"/>
      <c r="L107" s="248"/>
      <c r="N107" s="367"/>
      <c r="O107" s="367"/>
      <c r="P107" s="367"/>
      <c r="Q107" s="367"/>
      <c r="R107" s="367"/>
      <c r="S107" s="367"/>
      <c r="T107" s="367"/>
      <c r="U107" s="367"/>
      <c r="V107" s="367"/>
      <c r="W107" s="367"/>
    </row>
    <row r="108" spans="1:23" s="70" customFormat="1">
      <c r="A108" s="361" t="s">
        <v>24</v>
      </c>
      <c r="B108" s="361" t="str">
        <f>IF(OR(TBL_ADD_02_Project_Info[[#This Row],[Type]]="Heading", TBL_ADD_02_Project_Info[[#This Row],[Y/N]]="No"), "", IF(TBL_ADD_02_Project_Info[[#This Row],[Response]]&lt;&gt;"", "", "Add"))</f>
        <v/>
      </c>
      <c r="C108" s="405" t="str">
        <f>IF(TBL_ADD_02_Project_Info[[#This Row],[Comments]]&lt;&gt;"", IF(TBL_ADD_02_Project_Info[[#This Row],[Comments]]="NOTE: Add tech weightings", "Note", "Error!"), "Shade")</f>
        <v>Shade</v>
      </c>
      <c r="D108" s="248">
        <v>0</v>
      </c>
      <c r="E108" s="248">
        <f>REF_Split_Tech</f>
        <v>50</v>
      </c>
      <c r="F108" s="361" t="s">
        <v>24</v>
      </c>
      <c r="G108" s="361" t="s">
        <v>24</v>
      </c>
      <c r="H108" s="361" t="s">
        <v>1800</v>
      </c>
      <c r="I108" s="248" t="str">
        <f>IF(REF_Split_Price=100, "No", "Yes")</f>
        <v>Yes</v>
      </c>
      <c r="J108" s="248" t="s">
        <v>1903</v>
      </c>
      <c r="K108" s="248">
        <v>50</v>
      </c>
      <c r="L108" s="248" t="str">
        <f>IF(AND(REF_Split_Price&lt;&gt;"", REF_Split_Tech&lt;&gt;""), IF(REF_Int_or_SV="Not applicable", IF(AND(REF_Split_Tech&lt;&gt;"", REF_Tech_Weighting&lt;&gt;""), IF(REF_Tech_Weighting=REF_Split_Tech, "", CONCATENATE("Error - Tech weighting does not equal ", REF_Split_Tech, "!")), "NOTE: Add tech weightings"), IF(AND(REF_Split_Tech&lt;&gt;"", REF_Tech_Weighting&lt;&gt;"", REF_IntSV_Weighting&lt;&gt;""), IF(SUM(REF_Tech_Weighting,REF_IntSV_Weighting)=REF_Split_Tech, "", CONCATENATE("Error - Tech weightings do not equal ", REF_Split_Tech, "!")), "NOTE: Add tech weightings")), "")</f>
        <v/>
      </c>
      <c r="N108" s="367"/>
      <c r="O108" s="367"/>
      <c r="P108" s="367"/>
      <c r="Q108" s="367"/>
      <c r="R108" s="367"/>
      <c r="S108" s="367"/>
      <c r="T108" s="367"/>
      <c r="U108" s="367"/>
      <c r="V108" s="367"/>
      <c r="W108" s="367"/>
    </row>
    <row r="109" spans="1:23" s="70" customFormat="1">
      <c r="A109" s="361" t="s">
        <v>24</v>
      </c>
      <c r="B109" s="361" t="str">
        <f>IF(OR(TBL_ADD_02_Project_Info[[#This Row],[Type]]="Heading", TBL_ADD_02_Project_Info[[#This Row],[Y/N]]="No"), "", IF(TBL_ADD_02_Project_Info[[#This Row],[Response]]&lt;&gt;"", "", "Add"))</f>
        <v/>
      </c>
      <c r="C109" s="361" t="s">
        <v>88</v>
      </c>
      <c r="D109" s="248" t="str">
        <f>LookUp!$AH$1</f>
        <v>LUp_YesNo</v>
      </c>
      <c r="E109" s="248" t="s">
        <v>24</v>
      </c>
      <c r="F109" s="361" t="s">
        <v>24</v>
      </c>
      <c r="G109" s="361" t="s">
        <v>24</v>
      </c>
      <c r="H109" s="361" t="s">
        <v>1800</v>
      </c>
      <c r="I109" s="248" t="str">
        <f>IF(REF_Split_Price=100, "No", "Yes")</f>
        <v>Yes</v>
      </c>
      <c r="J109" s="248" t="s">
        <v>1901</v>
      </c>
      <c r="K109" s="248" t="s">
        <v>467</v>
      </c>
      <c r="L109" s="248"/>
      <c r="N109" s="367"/>
      <c r="O109" s="367"/>
      <c r="P109" s="367"/>
      <c r="Q109" s="367"/>
      <c r="R109" s="367"/>
      <c r="S109" s="367"/>
      <c r="T109" s="367"/>
      <c r="U109" s="367"/>
      <c r="V109" s="367"/>
      <c r="W109" s="367"/>
    </row>
    <row r="110" spans="1:23" s="70" customFormat="1">
      <c r="A110" s="361" t="s">
        <v>24</v>
      </c>
      <c r="B110" s="361" t="str">
        <f>IF(OR(TBL_ADD_02_Project_Info[[#This Row],[Type]]="Heading", TBL_ADD_02_Project_Info[[#This Row],[Y/N]]="No"), "", IF(TBL_ADD_02_Project_Info[[#This Row],[Response]]&lt;&gt;"", "", "Add"))</f>
        <v/>
      </c>
      <c r="C110" s="361" t="s">
        <v>88</v>
      </c>
      <c r="D110" s="248" t="str">
        <f>LookUp!$N$1</f>
        <v>LUp_Marking</v>
      </c>
      <c r="E110" s="248" t="s">
        <v>24</v>
      </c>
      <c r="F110" s="361" t="s">
        <v>24</v>
      </c>
      <c r="G110" s="361" t="s">
        <v>24</v>
      </c>
      <c r="H110" s="361" t="s">
        <v>1800</v>
      </c>
      <c r="I110" s="248" t="str">
        <f>IF(REF_Split_Price=100, "No", "Yes")</f>
        <v>Yes</v>
      </c>
      <c r="J110" s="248" t="s">
        <v>1785</v>
      </c>
      <c r="K110" s="248" t="s">
        <v>2031</v>
      </c>
      <c r="L110" s="248"/>
      <c r="N110" s="367"/>
      <c r="O110" s="367"/>
      <c r="P110" s="367"/>
      <c r="Q110" s="367"/>
      <c r="R110" s="367"/>
      <c r="S110" s="367"/>
      <c r="T110" s="367"/>
      <c r="U110" s="367"/>
      <c r="V110" s="367"/>
      <c r="W110" s="367"/>
    </row>
    <row r="111" spans="1:23" s="70" customFormat="1">
      <c r="A111" s="361" t="s">
        <v>24</v>
      </c>
      <c r="B111" s="361" t="str">
        <f>IF(OR(TBL_ADD_02_Project_Info[[#This Row],[Type]]="Heading", TBL_ADD_02_Project_Info[[#This Row],[Y/N]]="No"), "", IF(TBL_ADD_02_Project_Info[[#This Row],[Response]]&lt;&gt;"", "", "Add"))</f>
        <v/>
      </c>
      <c r="C111" s="361" t="s">
        <v>88</v>
      </c>
      <c r="D111" s="248" t="str">
        <f>LookUp!$AH$1</f>
        <v>LUp_YesNo</v>
      </c>
      <c r="E111" s="248" t="s">
        <v>24</v>
      </c>
      <c r="F111" s="361" t="s">
        <v>24</v>
      </c>
      <c r="G111" s="361" t="s">
        <v>24</v>
      </c>
      <c r="H111" s="361" t="s">
        <v>1800</v>
      </c>
      <c r="I111" s="248" t="str">
        <f>IF(OR(REF_Split_Price=100, REF_Lotted="No"), "No", "Yes")</f>
        <v>No</v>
      </c>
      <c r="J111" s="248" t="s">
        <v>1899</v>
      </c>
      <c r="K111" s="248"/>
      <c r="L111" s="248"/>
      <c r="N111" s="367"/>
      <c r="O111" s="367"/>
      <c r="P111" s="367"/>
      <c r="Q111" s="367"/>
      <c r="R111" s="367"/>
      <c r="S111" s="367"/>
      <c r="T111" s="367"/>
      <c r="U111" s="367"/>
      <c r="V111" s="367"/>
      <c r="W111" s="367"/>
    </row>
    <row r="112" spans="1:23" s="70" customFormat="1">
      <c r="A112" s="361" t="s">
        <v>24</v>
      </c>
      <c r="B112" s="361" t="str">
        <f>IF(OR(TBL_ADD_02_Project_Info[[#This Row],[Type]]="Heading", TBL_ADD_02_Project_Info[[#This Row],[Y/N]]="No"), "", IF(TBL_ADD_02_Project_Info[[#This Row],[Response]]&lt;&gt;"", "", "Add"))</f>
        <v/>
      </c>
      <c r="C112" s="361" t="s">
        <v>88</v>
      </c>
      <c r="D112" s="248" t="str">
        <f>LookUp!$AH$1</f>
        <v>LUp_YesNo</v>
      </c>
      <c r="E112" s="248" t="s">
        <v>24</v>
      </c>
      <c r="F112" s="361" t="s">
        <v>24</v>
      </c>
      <c r="G112" s="361" t="s">
        <v>24</v>
      </c>
      <c r="H112" s="361" t="s">
        <v>1800</v>
      </c>
      <c r="I112" s="248" t="str">
        <f>IF(OR(REF_Split_Price=100, REF_Lotted="No", REF_Tech_1_Response="No"), "No", "Yes")</f>
        <v>No</v>
      </c>
      <c r="J112" s="248" t="s">
        <v>1900</v>
      </c>
      <c r="K112" s="248"/>
      <c r="L112" s="248"/>
      <c r="N112" s="367"/>
      <c r="O112" s="367"/>
      <c r="P112" s="367"/>
      <c r="Q112" s="367"/>
      <c r="R112" s="367"/>
      <c r="S112" s="367"/>
      <c r="T112" s="367"/>
      <c r="U112" s="367"/>
      <c r="V112" s="367"/>
      <c r="W112" s="367"/>
    </row>
    <row r="113" spans="1:23" s="70" customFormat="1">
      <c r="A113" s="361" t="s">
        <v>24</v>
      </c>
      <c r="B113" s="361" t="str">
        <f>IF(OR(TBL_ADD_02_Project_Info[[#This Row],[Type]]="Heading", TBL_ADD_02_Project_Info[[#This Row],[Y/N]]="No"), "", IF(TBL_ADD_02_Project_Info[[#This Row],[Response]]&lt;&gt;"", "", "Add"))</f>
        <v/>
      </c>
      <c r="C113" s="361" t="s">
        <v>88</v>
      </c>
      <c r="D113" s="248" t="str">
        <f>LookUp!$AH$1</f>
        <v>LUp_YesNo</v>
      </c>
      <c r="E113" s="248" t="s">
        <v>24</v>
      </c>
      <c r="F113" s="361" t="s">
        <v>24</v>
      </c>
      <c r="G113" s="361" t="s">
        <v>24</v>
      </c>
      <c r="H113" s="361" t="s">
        <v>1800</v>
      </c>
      <c r="I113" s="248" t="str">
        <f>IF(REF_Split_Price=100, "No", "Yes")</f>
        <v>Yes</v>
      </c>
      <c r="J113" s="248" t="s">
        <v>2213</v>
      </c>
      <c r="K113" s="248" t="s">
        <v>467</v>
      </c>
      <c r="L113" s="248"/>
      <c r="N113" s="367"/>
      <c r="O113" s="367"/>
      <c r="P113" s="367"/>
      <c r="Q113" s="367"/>
      <c r="R113" s="367"/>
      <c r="S113" s="367"/>
      <c r="T113" s="367"/>
      <c r="U113" s="367"/>
      <c r="V113" s="367"/>
      <c r="W113" s="367"/>
    </row>
    <row r="114" spans="1:23" s="70" customFormat="1" ht="13">
      <c r="A114" s="361" t="s">
        <v>1882</v>
      </c>
      <c r="B114" s="361" t="str">
        <f>IF(OR(TBL_ADD_02_Project_Info[[#This Row],[Type]]="Heading", TBL_ADD_02_Project_Info[[#This Row],[Y/N]]="No"), "", IF(TBL_ADD_02_Project_Info[[#This Row],[Response]]&lt;&gt;"", "", "Add"))</f>
        <v/>
      </c>
      <c r="C114" s="248"/>
      <c r="D114" s="361" t="s">
        <v>24</v>
      </c>
      <c r="E114" s="248" t="s">
        <v>24</v>
      </c>
      <c r="F114" s="361" t="s">
        <v>24</v>
      </c>
      <c r="G114" s="361" t="s">
        <v>24</v>
      </c>
      <c r="H114" s="361" t="s">
        <v>1800</v>
      </c>
      <c r="I114" s="248" t="str">
        <f>IF(OR(REF_Split_Price=100, REF_Int_or_SV="Not applicable"), "No", "Yes")</f>
        <v>No</v>
      </c>
      <c r="J114" s="248" t="s">
        <v>1902</v>
      </c>
      <c r="K114" s="248"/>
      <c r="L114" s="248"/>
      <c r="N114" s="367"/>
      <c r="O114" s="367"/>
      <c r="P114" s="367"/>
      <c r="Q114" s="367"/>
      <c r="R114" s="367"/>
      <c r="S114" s="367"/>
      <c r="T114" s="367"/>
      <c r="U114" s="367"/>
      <c r="V114" s="367"/>
      <c r="W114" s="367"/>
    </row>
    <row r="115" spans="1:23" s="70" customFormat="1">
      <c r="A115" s="361" t="s">
        <v>24</v>
      </c>
      <c r="B115" s="361" t="str">
        <f>IF(OR(TBL_ADD_02_Project_Info[[#This Row],[Type]]="Heading", TBL_ADD_02_Project_Info[[#This Row],[Y/N]]="No"), "", IF(TBL_ADD_02_Project_Info[[#This Row],[Response]]&lt;&gt;"", "", "Add"))</f>
        <v/>
      </c>
      <c r="C115" s="405" t="str">
        <f>IF(TBL_ADD_02_Project_Info[[#This Row],[Comments]]&lt;&gt;"", IF(TBL_ADD_02_Project_Info[[#This Row],[Comments]]="NOTE: Add tech weightings", "Note", "Error!"), "Shade")</f>
        <v>Shade</v>
      </c>
      <c r="D115" s="248">
        <v>0</v>
      </c>
      <c r="E115" s="248">
        <f>REF_Split_Tech</f>
        <v>50</v>
      </c>
      <c r="F115" s="361" t="s">
        <v>24</v>
      </c>
      <c r="G115" s="361" t="s">
        <v>24</v>
      </c>
      <c r="H115" s="361" t="s">
        <v>1800</v>
      </c>
      <c r="I115" s="248" t="str">
        <f>IF(OR(REF_Split_Price=100, REF_Int_or_SV="Not applicable"), "No", "Yes")</f>
        <v>No</v>
      </c>
      <c r="J115" s="248" t="s">
        <v>1903</v>
      </c>
      <c r="K115" s="248"/>
      <c r="L115" s="248" t="str">
        <f>IF(REF_Int_or_SV="Not applicable", "", IF(AND(REF_Split_Price&lt;&gt;"", REF_Split_Tech&lt;&gt;""), IF(REF_Int_or_SV="Not applicable", IF(AND(REF_Split_Tech&lt;&gt;"", REF_Tech_Weighting&lt;&gt;""), IF(REF_Tech_Weighting=REF_Split_Tech, "", CONCATENATE("Error - Tech weighting does not equal ", REF_Split_Tech, "!")), "NOTE: Add tech weightings"), IF(AND(REF_Split_Tech&lt;&gt;"", REF_Tech_Weighting&lt;&gt;"", REF_IntSV_Weighting&lt;&gt;""), IF(SUM(REF_Tech_Weighting,REF_IntSV_Weighting)=REF_Split_Tech, "", CONCATENATE("Error - Tech weightings do not equal ", REF_Split_Tech, "!")), "NOTE: Add tech weightings")), ""))</f>
        <v/>
      </c>
      <c r="N115" s="367"/>
      <c r="O115" s="367"/>
      <c r="P115" s="367"/>
      <c r="Q115" s="367"/>
      <c r="R115" s="367"/>
      <c r="S115" s="367"/>
      <c r="T115" s="367"/>
      <c r="U115" s="367"/>
      <c r="V115" s="367"/>
      <c r="W115" s="367"/>
    </row>
    <row r="116" spans="1:23" s="70" customFormat="1">
      <c r="A116" s="361" t="s">
        <v>24</v>
      </c>
      <c r="B116" s="361" t="str">
        <f>IF(OR(TBL_ADD_02_Project_Info[[#This Row],[Type]]="Heading", TBL_ADD_02_Project_Info[[#This Row],[Y/N]]="No"), "", IF(TBL_ADD_02_Project_Info[[#This Row],[Response]]&lt;&gt;"", "", "Add"))</f>
        <v/>
      </c>
      <c r="C116" s="361" t="s">
        <v>88</v>
      </c>
      <c r="D116" s="248" t="str">
        <f>LookUp!$AH$1</f>
        <v>LUp_YesNo</v>
      </c>
      <c r="E116" s="248" t="s">
        <v>24</v>
      </c>
      <c r="F116" s="361" t="s">
        <v>24</v>
      </c>
      <c r="G116" s="361" t="s">
        <v>24</v>
      </c>
      <c r="H116" s="361" t="s">
        <v>1800</v>
      </c>
      <c r="I116" s="248" t="str">
        <f>IF(OR(REF_Split_Price=100, REF_Int_or_SV="Not applicable"), "No", "Yes")</f>
        <v>No</v>
      </c>
      <c r="J116" s="248" t="s">
        <v>1901</v>
      </c>
      <c r="K116" s="248"/>
      <c r="L116" s="248"/>
      <c r="N116" s="367"/>
      <c r="O116" s="367"/>
      <c r="P116" s="367"/>
      <c r="Q116" s="367"/>
      <c r="R116" s="367"/>
      <c r="S116" s="367"/>
      <c r="T116" s="367"/>
      <c r="U116" s="367"/>
      <c r="V116" s="367"/>
      <c r="W116" s="367"/>
    </row>
    <row r="117" spans="1:23" s="70" customFormat="1">
      <c r="A117" s="361" t="s">
        <v>24</v>
      </c>
      <c r="B117" s="361" t="str">
        <f>IF(OR(TBL_ADD_02_Project_Info[[#This Row],[Type]]="Heading", TBL_ADD_02_Project_Info[[#This Row],[Y/N]]="No"), "", IF(TBL_ADD_02_Project_Info[[#This Row],[Response]]&lt;&gt;"", "", "Add"))</f>
        <v/>
      </c>
      <c r="C117" s="361" t="s">
        <v>88</v>
      </c>
      <c r="D117" s="248" t="str">
        <f>LookUp!$N$1</f>
        <v>LUp_Marking</v>
      </c>
      <c r="E117" s="248" t="s">
        <v>24</v>
      </c>
      <c r="F117" s="361" t="s">
        <v>24</v>
      </c>
      <c r="G117" s="361" t="s">
        <v>24</v>
      </c>
      <c r="H117" s="361" t="s">
        <v>1800</v>
      </c>
      <c r="I117" s="248" t="str">
        <f>IF(OR(REF_Split_Price=100, REF_Int_or_SV="Not applicable"), "No", "Yes")</f>
        <v>No</v>
      </c>
      <c r="J117" s="248" t="s">
        <v>1785</v>
      </c>
      <c r="K117" s="248"/>
      <c r="L117" s="248"/>
      <c r="N117" s="367"/>
      <c r="O117" s="367"/>
      <c r="P117" s="367"/>
      <c r="Q117" s="367"/>
      <c r="R117" s="367"/>
      <c r="S117" s="367"/>
      <c r="T117" s="367"/>
      <c r="U117" s="367"/>
      <c r="V117" s="367"/>
      <c r="W117" s="367"/>
    </row>
    <row r="118" spans="1:23" s="70" customFormat="1">
      <c r="A118" s="361" t="s">
        <v>24</v>
      </c>
      <c r="B118" s="361" t="str">
        <f>IF(OR(TBL_ADD_02_Project_Info[[#This Row],[Type]]="Heading", TBL_ADD_02_Project_Info[[#This Row],[Y/N]]="No"), "", IF(TBL_ADD_02_Project_Info[[#This Row],[Response]]&lt;&gt;"", "", "Add"))</f>
        <v/>
      </c>
      <c r="C118" s="361" t="s">
        <v>88</v>
      </c>
      <c r="D118" s="248" t="str">
        <f>LookUp!$AH$1</f>
        <v>LUp_YesNo</v>
      </c>
      <c r="E118" s="248" t="s">
        <v>24</v>
      </c>
      <c r="F118" s="361" t="s">
        <v>24</v>
      </c>
      <c r="G118" s="361" t="s">
        <v>24</v>
      </c>
      <c r="H118" s="361" t="s">
        <v>1800</v>
      </c>
      <c r="I118" s="248" t="str">
        <f>IF(OR(REF_Split_Price=100, REF_Int_or_SV="Not applicable", REF_Lotted="No"), "No", "Yes")</f>
        <v>No</v>
      </c>
      <c r="J118" s="248" t="s">
        <v>1899</v>
      </c>
      <c r="K118" s="248"/>
      <c r="L118" s="248"/>
      <c r="N118" s="367"/>
      <c r="O118" s="367"/>
      <c r="P118" s="367"/>
      <c r="Q118" s="367"/>
      <c r="R118" s="367"/>
      <c r="S118" s="367"/>
      <c r="T118" s="367"/>
      <c r="U118" s="367"/>
      <c r="V118" s="367"/>
      <c r="W118" s="367"/>
    </row>
    <row r="119" spans="1:23" s="70" customFormat="1">
      <c r="A119" s="361" t="s">
        <v>24</v>
      </c>
      <c r="B119" s="361" t="str">
        <f>IF(OR(TBL_ADD_02_Project_Info[[#This Row],[Type]]="Heading", TBL_ADD_02_Project_Info[[#This Row],[Y/N]]="No"), "", IF(TBL_ADD_02_Project_Info[[#This Row],[Response]]&lt;&gt;"", "", "Add"))</f>
        <v/>
      </c>
      <c r="C119" s="361" t="s">
        <v>88</v>
      </c>
      <c r="D119" s="248" t="str">
        <f>LookUp!$AH$1</f>
        <v>LUp_YesNo</v>
      </c>
      <c r="E119" s="248" t="s">
        <v>24</v>
      </c>
      <c r="F119" s="361" t="s">
        <v>24</v>
      </c>
      <c r="G119" s="361" t="s">
        <v>24</v>
      </c>
      <c r="H119" s="361" t="s">
        <v>1800</v>
      </c>
      <c r="I119" s="248" t="str">
        <f>IF(OR(REF_Split_Price=100, REF_Int_or_SV="Not applicable"), "No", "Yes")</f>
        <v>No</v>
      </c>
      <c r="J119" s="248" t="s">
        <v>2213</v>
      </c>
      <c r="K119" s="248"/>
      <c r="L119" s="248"/>
      <c r="N119" s="367"/>
      <c r="O119" s="367"/>
      <c r="P119" s="367"/>
      <c r="Q119" s="367"/>
      <c r="R119" s="367"/>
      <c r="S119" s="367"/>
      <c r="T119" s="367"/>
      <c r="U119" s="367"/>
      <c r="V119" s="367"/>
      <c r="W119" s="367"/>
    </row>
    <row r="120" spans="1:23" s="70" customFormat="1" ht="13">
      <c r="A120" s="361" t="s">
        <v>1882</v>
      </c>
      <c r="B120" s="361" t="str">
        <f>IF(OR(TBL_ADD_02_Project_Info[[#This Row],[Type]]="Heading", TBL_ADD_02_Project_Info[[#This Row],[Y/N]]="No"), "", IF(TBL_ADD_02_Project_Info[[#This Row],[Response]]&lt;&gt;"", "", "Add"))</f>
        <v/>
      </c>
      <c r="C120" s="361"/>
      <c r="D120" s="361" t="s">
        <v>24</v>
      </c>
      <c r="E120" s="248" t="s">
        <v>24</v>
      </c>
      <c r="F120" s="361" t="s">
        <v>24</v>
      </c>
      <c r="G120" s="361" t="s">
        <v>24</v>
      </c>
      <c r="H120" s="361" t="s">
        <v>346</v>
      </c>
      <c r="I120" s="248" t="str">
        <f t="shared" ref="I120:I126" si="2">IF(OR(REF_Lotted="No", REF_No_Lots&lt;1), "No", "Yes")</f>
        <v>No</v>
      </c>
      <c r="J120" s="248" t="s">
        <v>1979</v>
      </c>
      <c r="K120" s="248"/>
      <c r="L120" s="248"/>
      <c r="N120" s="367"/>
      <c r="O120" s="367"/>
      <c r="P120" s="367"/>
      <c r="Q120" s="367"/>
      <c r="R120" s="367"/>
      <c r="S120" s="367"/>
      <c r="T120" s="367"/>
      <c r="U120" s="367"/>
      <c r="V120" s="367"/>
      <c r="W120" s="367"/>
    </row>
    <row r="121" spans="1:23" s="70" customFormat="1">
      <c r="A121" s="361" t="s">
        <v>24</v>
      </c>
      <c r="B121" s="361" t="str">
        <f>IF(OR(TBL_ADD_02_Project_Info[[#This Row],[Type]]="Heading", TBL_ADD_02_Project_Info[[#This Row],[Y/N]]="No"), "", IF(TBL_ADD_02_Project_Info[[#This Row],[Response]]&lt;&gt;"", "", "Add"))</f>
        <v/>
      </c>
      <c r="C121" s="361" t="s">
        <v>88</v>
      </c>
      <c r="D121" s="361" t="s">
        <v>24</v>
      </c>
      <c r="E121" s="248" t="s">
        <v>24</v>
      </c>
      <c r="F121" s="361" t="s">
        <v>24</v>
      </c>
      <c r="G121" s="361" t="s">
        <v>148</v>
      </c>
      <c r="H121" s="361" t="s">
        <v>346</v>
      </c>
      <c r="I121" s="248" t="str">
        <f t="shared" si="2"/>
        <v>No</v>
      </c>
      <c r="J121" s="248" t="s">
        <v>1904</v>
      </c>
      <c r="K121" s="248"/>
      <c r="L121" s="248"/>
      <c r="N121" s="367"/>
      <c r="O121" s="367"/>
      <c r="P121" s="367"/>
      <c r="Q121" s="367"/>
      <c r="R121" s="367"/>
      <c r="S121" s="367"/>
      <c r="T121" s="367"/>
      <c r="U121" s="367"/>
      <c r="V121" s="367"/>
      <c r="W121" s="367"/>
    </row>
    <row r="122" spans="1:23" s="70" customFormat="1">
      <c r="A122" s="361" t="s">
        <v>24</v>
      </c>
      <c r="B122" s="361" t="str">
        <f>IF(OR(TBL_ADD_02_Project_Info[[#This Row],[Type]]="Heading", TBL_ADD_02_Project_Info[[#This Row],[Y/N]]="No"), "", IF(TBL_ADD_02_Project_Info[[#This Row],[Response]]&lt;&gt;"", "", "Add"))</f>
        <v/>
      </c>
      <c r="C122" s="361" t="s">
        <v>88</v>
      </c>
      <c r="D122" s="361" t="s">
        <v>24</v>
      </c>
      <c r="E122" s="248" t="s">
        <v>24</v>
      </c>
      <c r="F122" s="361" t="s">
        <v>24</v>
      </c>
      <c r="G122" s="361" t="s">
        <v>91</v>
      </c>
      <c r="H122" s="361" t="s">
        <v>346</v>
      </c>
      <c r="I122" s="248" t="str">
        <f t="shared" si="2"/>
        <v>No</v>
      </c>
      <c r="J122" s="248" t="s">
        <v>1905</v>
      </c>
      <c r="K122" s="248"/>
      <c r="L122" s="248"/>
      <c r="N122" s="367"/>
      <c r="O122" s="367"/>
      <c r="P122" s="367"/>
      <c r="Q122" s="367"/>
      <c r="R122" s="367"/>
      <c r="S122" s="367"/>
      <c r="T122" s="367"/>
      <c r="U122" s="367"/>
      <c r="V122" s="367"/>
      <c r="W122" s="367"/>
    </row>
    <row r="123" spans="1:23" s="70" customFormat="1">
      <c r="A123" s="361" t="s">
        <v>24</v>
      </c>
      <c r="B123" s="361" t="str">
        <f>IF(OR(TBL_ADD_02_Project_Info[[#This Row],[Type]]="Heading", TBL_ADD_02_Project_Info[[#This Row],[Y/N]]="No"), "", IF(TBL_ADD_02_Project_Info[[#This Row],[Response]]&lt;&gt;"", "", "Add"))</f>
        <v/>
      </c>
      <c r="C123" s="361" t="s">
        <v>88</v>
      </c>
      <c r="D123" s="361" t="str">
        <f>LookUp!$S$1</f>
        <v>LUp_PropType</v>
      </c>
      <c r="E123" s="248" t="s">
        <v>24</v>
      </c>
      <c r="F123" s="361" t="s">
        <v>24</v>
      </c>
      <c r="G123" s="361" t="s">
        <v>1985</v>
      </c>
      <c r="H123" s="361" t="s">
        <v>346</v>
      </c>
      <c r="I123" s="248" t="str">
        <f t="shared" si="2"/>
        <v>No</v>
      </c>
      <c r="J123" s="248" t="s">
        <v>1908</v>
      </c>
      <c r="K123" s="248"/>
      <c r="L123" s="248"/>
      <c r="N123" s="367"/>
      <c r="O123" s="367"/>
      <c r="P123" s="367"/>
      <c r="Q123" s="367"/>
      <c r="R123" s="367"/>
      <c r="S123" s="367"/>
      <c r="T123" s="367"/>
      <c r="U123" s="367"/>
      <c r="V123" s="367"/>
      <c r="W123" s="367"/>
    </row>
    <row r="124" spans="1:23" s="70" customFormat="1">
      <c r="A124" s="361" t="s">
        <v>24</v>
      </c>
      <c r="B124" s="361" t="str">
        <f>IF(OR(TBL_ADD_02_Project_Info[[#This Row],[Type]]="Heading", TBL_ADD_02_Project_Info[[#This Row],[Y/N]]="No"), "", IF(TBL_ADD_02_Project_Info[[#This Row],[Response]]&lt;&gt;"", "", "Add"))</f>
        <v/>
      </c>
      <c r="C124" s="361" t="s">
        <v>88</v>
      </c>
      <c r="D124" s="248">
        <v>0</v>
      </c>
      <c r="E124" s="248">
        <f>$K$33</f>
        <v>20500</v>
      </c>
      <c r="F124" s="361" t="s">
        <v>1973</v>
      </c>
      <c r="G124" s="361" t="s">
        <v>1987</v>
      </c>
      <c r="H124" s="361" t="s">
        <v>346</v>
      </c>
      <c r="I124" s="248" t="str">
        <f t="shared" si="2"/>
        <v>No</v>
      </c>
      <c r="J124" s="248" t="s">
        <v>1980</v>
      </c>
      <c r="K124" s="420"/>
      <c r="L124" s="248"/>
      <c r="N124" s="367"/>
      <c r="O124" s="367"/>
      <c r="P124" s="367"/>
      <c r="Q124" s="367"/>
      <c r="R124" s="367"/>
      <c r="S124" s="367"/>
      <c r="T124" s="367"/>
      <c r="U124" s="367"/>
      <c r="V124" s="367"/>
      <c r="W124" s="367"/>
    </row>
    <row r="125" spans="1:23" s="70" customFormat="1">
      <c r="A125" s="361" t="s">
        <v>24</v>
      </c>
      <c r="B125" s="361" t="str">
        <f>IF(OR(TBL_ADD_02_Project_Info[[#This Row],[Type]]="Heading", TBL_ADD_02_Project_Info[[#This Row],[Y/N]]="No"), "", IF(TBL_ADD_02_Project_Info[[#This Row],[Response]]&lt;&gt;"", "", "Add"))</f>
        <v/>
      </c>
      <c r="C125" s="361" t="s">
        <v>88</v>
      </c>
      <c r="D125" s="248" t="str">
        <f>LookUp!$E$1</f>
        <v>LUp_Approx</v>
      </c>
      <c r="E125" s="248" t="s">
        <v>24</v>
      </c>
      <c r="F125" s="361" t="s">
        <v>24</v>
      </c>
      <c r="G125" s="361" t="s">
        <v>1986</v>
      </c>
      <c r="H125" s="361" t="s">
        <v>346</v>
      </c>
      <c r="I125" s="248" t="str">
        <f t="shared" si="2"/>
        <v>No</v>
      </c>
      <c r="J125" s="248" t="s">
        <v>109</v>
      </c>
      <c r="K125" s="248"/>
      <c r="L125" s="248"/>
      <c r="N125" s="367"/>
      <c r="O125" s="367"/>
      <c r="P125" s="367"/>
      <c r="Q125" s="367"/>
      <c r="R125" s="367"/>
      <c r="S125" s="367"/>
      <c r="T125" s="367"/>
      <c r="U125" s="367"/>
      <c r="V125" s="367"/>
      <c r="W125" s="367"/>
    </row>
    <row r="126" spans="1:23" s="70" customFormat="1">
      <c r="A126" s="361" t="s">
        <v>24</v>
      </c>
      <c r="B126" s="361" t="str">
        <f>IF(OR(TBL_ADD_02_Project_Info[[#This Row],[Type]]="Heading", TBL_ADD_02_Project_Info[[#This Row],[Y/N]]="No"), "", IF(TBL_ADD_02_Project_Info[[#This Row],[Response]]&lt;&gt;"", "", "Add"))</f>
        <v/>
      </c>
      <c r="C126" s="361" t="s">
        <v>88</v>
      </c>
      <c r="D126" s="361" t="str">
        <f>LookUp!$AD$1</f>
        <v>LUp_ValueType</v>
      </c>
      <c r="E126" s="248" t="s">
        <v>24</v>
      </c>
      <c r="F126" s="361" t="s">
        <v>24</v>
      </c>
      <c r="G126" s="361" t="s">
        <v>325</v>
      </c>
      <c r="H126" s="361" t="s">
        <v>346</v>
      </c>
      <c r="I126" s="248" t="str">
        <f t="shared" si="2"/>
        <v>No</v>
      </c>
      <c r="J126" s="248" t="s">
        <v>319</v>
      </c>
      <c r="K126" s="248"/>
      <c r="L126" s="248"/>
      <c r="N126" s="367"/>
      <c r="O126" s="367"/>
      <c r="P126" s="367"/>
      <c r="Q126" s="367"/>
      <c r="R126" s="367"/>
      <c r="S126" s="367"/>
      <c r="T126" s="367"/>
      <c r="U126" s="367"/>
      <c r="V126" s="367"/>
      <c r="W126" s="367"/>
    </row>
    <row r="127" spans="1:23" s="70" customFormat="1">
      <c r="A127" s="361" t="s">
        <v>24</v>
      </c>
      <c r="B127" s="361" t="str">
        <f>IF(OR(TBL_ADD_02_Project_Info[[#This Row],[Type]]="Heading", TBL_ADD_02_Project_Info[[#This Row],[Y/N]]="No"), "", IF(TBL_ADD_02_Project_Info[[#This Row],[Response]]&lt;&gt;"", "", "Add"))</f>
        <v/>
      </c>
      <c r="C127" s="361" t="s">
        <v>88</v>
      </c>
      <c r="D127" s="361">
        <v>0</v>
      </c>
      <c r="E127" s="248" t="s">
        <v>24</v>
      </c>
      <c r="F127" s="361" t="s">
        <v>1975</v>
      </c>
      <c r="G127" s="361" t="s">
        <v>327</v>
      </c>
      <c r="H127" s="361" t="s">
        <v>346</v>
      </c>
      <c r="I127" s="248" t="str">
        <f>IF(OR(REF_Lotted="No", REF_No_Lots&lt;1, $K$126="Single figure", $K$126="N/A"), "No", "Yes")</f>
        <v>No</v>
      </c>
      <c r="J127" s="248" t="s">
        <v>126</v>
      </c>
      <c r="K127" s="421"/>
      <c r="L127" s="248"/>
      <c r="N127" s="367"/>
      <c r="O127" s="367"/>
      <c r="P127" s="367"/>
      <c r="Q127" s="367"/>
      <c r="R127" s="367"/>
      <c r="S127" s="367"/>
      <c r="T127" s="367"/>
      <c r="U127" s="367"/>
      <c r="V127" s="367"/>
      <c r="W127" s="367"/>
    </row>
    <row r="128" spans="1:23" s="70" customFormat="1">
      <c r="A128" s="361" t="s">
        <v>24</v>
      </c>
      <c r="B128" s="361" t="str">
        <f>IF(OR(TBL_ADD_02_Project_Info[[#This Row],[Type]]="Heading", TBL_ADD_02_Project_Info[[#This Row],[Y/N]]="No"), "", IF(TBL_ADD_02_Project_Info[[#This Row],[Response]]&lt;&gt;"", "", "Add"))</f>
        <v/>
      </c>
      <c r="C128" s="361" t="s">
        <v>88</v>
      </c>
      <c r="D128" s="361">
        <f>K127</f>
        <v>0</v>
      </c>
      <c r="E128" s="248" t="s">
        <v>24</v>
      </c>
      <c r="F128" s="361" t="s">
        <v>1975</v>
      </c>
      <c r="G128" s="361" t="s">
        <v>326</v>
      </c>
      <c r="H128" s="361" t="s">
        <v>346</v>
      </c>
      <c r="I128" s="248" t="str">
        <f>IF(OR(REF_Lotted="No", REF_No_Lots&lt;1, $K$126="N/A"), "No", "Yes")</f>
        <v>No</v>
      </c>
      <c r="J128" s="248" t="s">
        <v>125</v>
      </c>
      <c r="K128" s="421"/>
      <c r="L128" s="248"/>
      <c r="N128" s="367"/>
      <c r="O128" s="367"/>
      <c r="P128" s="367"/>
      <c r="Q128" s="367"/>
      <c r="R128" s="367"/>
      <c r="S128" s="367"/>
      <c r="T128" s="367"/>
      <c r="U128" s="367"/>
      <c r="V128" s="367"/>
      <c r="W128" s="367"/>
    </row>
    <row r="129" spans="1:23" s="70" customFormat="1">
      <c r="A129" s="361" t="s">
        <v>24</v>
      </c>
      <c r="B129" s="361" t="str">
        <f>IF(OR(TBL_ADD_02_Project_Info[[#This Row],[Type]]="Heading", TBL_ADD_02_Project_Info[[#This Row],[Y/N]]="No"), "", IF(TBL_ADD_02_Project_Info[[#This Row],[Response]]&lt;&gt;"", "", "Add"))</f>
        <v/>
      </c>
      <c r="C129" s="361" t="s">
        <v>88</v>
      </c>
      <c r="D129" s="361" t="str">
        <f>IF($K$14&lt;&gt;"", IF($K$14="Open Procedure", "", VLOOKUP($K$14, TBL_REF_03_Procedure[], 2, FALSE)), "")</f>
        <v/>
      </c>
      <c r="E129" s="248">
        <f>$K$87</f>
        <v>0</v>
      </c>
      <c r="F129" s="361" t="s">
        <v>1974</v>
      </c>
      <c r="G129" s="361" t="s">
        <v>229</v>
      </c>
      <c r="H129" s="361" t="s">
        <v>346</v>
      </c>
      <c r="I129" s="248" t="str">
        <f>IF(OR(REF_Lotted="No", REF_No_Lots&lt;1, $K$14="Open Procedure"), "No", "Yes")</f>
        <v>No</v>
      </c>
      <c r="J129" s="248" t="s">
        <v>1981</v>
      </c>
      <c r="K129" s="329" t="str">
        <f>IF(TBL_ADD_02_Project_Info[[#This Row],[Y/N]]="Yes", IF($K$86&lt;&gt;"", $K$86, ""), "")</f>
        <v/>
      </c>
      <c r="L129" s="248"/>
      <c r="N129" s="367"/>
      <c r="O129" s="367"/>
      <c r="P129" s="367"/>
      <c r="Q129" s="367"/>
      <c r="R129" s="367"/>
      <c r="S129" s="367"/>
      <c r="T129" s="367"/>
      <c r="U129" s="367"/>
      <c r="V129" s="367"/>
      <c r="W129" s="367"/>
    </row>
    <row r="130" spans="1:23" s="70" customFormat="1">
      <c r="A130" s="361" t="s">
        <v>24</v>
      </c>
      <c r="B130" s="361" t="str">
        <f>IF(OR(TBL_ADD_02_Project_Info[[#This Row],[Type]]="Heading", TBL_ADD_02_Project_Info[[#This Row],[Y/N]]="No"), "", IF(TBL_ADD_02_Project_Info[[#This Row],[Response]]&lt;&gt;"", "", "Add"))</f>
        <v/>
      </c>
      <c r="C130" s="361" t="s">
        <v>88</v>
      </c>
      <c r="D130" s="361" t="str">
        <f>K129</f>
        <v/>
      </c>
      <c r="E130" s="248">
        <f>$K$87</f>
        <v>0</v>
      </c>
      <c r="F130" s="361" t="s">
        <v>1974</v>
      </c>
      <c r="G130" s="361" t="s">
        <v>231</v>
      </c>
      <c r="H130" s="361" t="s">
        <v>346</v>
      </c>
      <c r="I130" s="248" t="str">
        <f>IF(OR(REF_Lotted="No", REF_No_Lots&lt;1, $K$14="Open Procedure"), "No", "Yes")</f>
        <v>No</v>
      </c>
      <c r="J130" s="248" t="s">
        <v>1982</v>
      </c>
      <c r="K130" s="329" t="str">
        <f>IF(TBL_ADD_02_Project_Info[[#This Row],[Y/N]]="Yes", IF($K$87&lt;&gt;"", $K$87, ""), "")</f>
        <v/>
      </c>
      <c r="L130" s="248"/>
      <c r="N130" s="367"/>
      <c r="O130" s="367"/>
      <c r="P130" s="367"/>
      <c r="Q130" s="367"/>
      <c r="R130" s="367"/>
      <c r="S130" s="367"/>
      <c r="T130" s="367"/>
      <c r="U130" s="367"/>
      <c r="V130" s="367"/>
      <c r="W130" s="367"/>
    </row>
    <row r="131" spans="1:23" s="70" customFormat="1">
      <c r="A131" s="361" t="s">
        <v>24</v>
      </c>
      <c r="B131" s="361" t="str">
        <f>IF(OR(TBL_ADD_02_Project_Info[[#This Row],[Type]]="Heading", TBL_ADD_02_Project_Info[[#This Row],[Y/N]]="No"), "", IF(TBL_ADD_02_Project_Info[[#This Row],[Response]]&lt;&gt;"", "", "Add"))</f>
        <v/>
      </c>
      <c r="C131" s="361" t="s">
        <v>88</v>
      </c>
      <c r="D131" s="361" t="s">
        <v>24</v>
      </c>
      <c r="E131" s="248" t="str">
        <f>K130</f>
        <v/>
      </c>
      <c r="F131" s="361" t="s">
        <v>1974</v>
      </c>
      <c r="G131" s="361" t="s">
        <v>581</v>
      </c>
      <c r="H131" s="361" t="s">
        <v>346</v>
      </c>
      <c r="I131" s="248" t="str">
        <f>IF(OR(REF_Lotted="No", REF_No_Lots&lt;1, $K$14="Open Procedure", $K$14="Restricted Procedure"), "No", "Yes")</f>
        <v>No</v>
      </c>
      <c r="J131" s="248" t="s">
        <v>1983</v>
      </c>
      <c r="K131" s="329"/>
      <c r="L131" s="248"/>
      <c r="N131" s="367"/>
      <c r="O131" s="367"/>
      <c r="P131" s="367"/>
      <c r="Q131" s="367"/>
      <c r="R131" s="367"/>
      <c r="S131" s="367"/>
      <c r="T131" s="367"/>
      <c r="U131" s="367"/>
      <c r="V131" s="367"/>
      <c r="W131" s="367"/>
    </row>
    <row r="132" spans="1:23" s="70" customFormat="1">
      <c r="A132" s="361" t="s">
        <v>24</v>
      </c>
      <c r="B132" s="361" t="str">
        <f>IF(OR(TBL_ADD_02_Project_Info[[#This Row],[Type]]="Heading", TBL_ADD_02_Project_Info[[#This Row],[Y/N]]="No"), "", IF(TBL_ADD_02_Project_Info[[#This Row],[Response]]&lt;&gt;"", "", "Add"))</f>
        <v/>
      </c>
      <c r="C132" s="361" t="s">
        <v>88</v>
      </c>
      <c r="D132" s="361">
        <f>K131</f>
        <v>0</v>
      </c>
      <c r="E132" s="248">
        <f>$K$90</f>
        <v>0</v>
      </c>
      <c r="F132" s="361" t="s">
        <v>1974</v>
      </c>
      <c r="G132" s="361" t="s">
        <v>582</v>
      </c>
      <c r="H132" s="361" t="s">
        <v>346</v>
      </c>
      <c r="I132" s="248" t="str">
        <f>IF(OR(REF_Lotted="No", REF_No_Lots&lt;1, $K$14="Open Procedure", $K$14="Restricted Procedure"), "No", "Yes")</f>
        <v>No</v>
      </c>
      <c r="J132" s="248" t="s">
        <v>1984</v>
      </c>
      <c r="K132" s="329"/>
      <c r="L132" s="248"/>
      <c r="N132" s="367"/>
      <c r="O132" s="367"/>
      <c r="P132" s="367"/>
      <c r="Q132" s="367"/>
      <c r="R132" s="367"/>
      <c r="S132" s="367"/>
      <c r="T132" s="367"/>
      <c r="U132" s="367"/>
      <c r="V132" s="367"/>
      <c r="W132" s="367"/>
    </row>
    <row r="133" spans="1:23" s="70" customFormat="1">
      <c r="A133" s="361" t="s">
        <v>24</v>
      </c>
      <c r="B133" s="361" t="str">
        <f>IF(OR(TBL_ADD_02_Project_Info[[#This Row],[Type]]="Heading", TBL_ADD_02_Project_Info[[#This Row],[Y/N]]="No"), "", IF(TBL_ADD_02_Project_Info[[#This Row],[Response]]&lt;&gt;"", "", "Add"))</f>
        <v/>
      </c>
      <c r="C133" s="361" t="s">
        <v>88</v>
      </c>
      <c r="D133" s="361" t="s">
        <v>24</v>
      </c>
      <c r="E133" s="248">
        <f>K132</f>
        <v>0</v>
      </c>
      <c r="F133" s="361" t="s">
        <v>1974</v>
      </c>
      <c r="G133" s="361" t="s">
        <v>1798</v>
      </c>
      <c r="H133" s="361" t="s">
        <v>346</v>
      </c>
      <c r="I133" s="248" t="str">
        <f>IF(OR(REF_Lotted="No", REF_No_Lots&lt;1, $K$14="Open Procedure", $K$14="Restricted Procedure"), "No", "Yes")</f>
        <v>No</v>
      </c>
      <c r="J133" s="248" t="s">
        <v>1906</v>
      </c>
      <c r="K133" s="329"/>
      <c r="L133" s="248"/>
      <c r="N133" s="367"/>
      <c r="O133" s="367"/>
      <c r="P133" s="367"/>
      <c r="Q133" s="367"/>
      <c r="R133" s="367"/>
      <c r="S133" s="367"/>
      <c r="T133" s="367"/>
      <c r="U133" s="367"/>
      <c r="V133" s="367"/>
      <c r="W133" s="367"/>
    </row>
    <row r="134" spans="1:23" s="70" customFormat="1">
      <c r="A134" s="361" t="s">
        <v>24</v>
      </c>
      <c r="B134" s="361" t="str">
        <f>IF(OR(TBL_ADD_02_Project_Info[[#This Row],[Type]]="Heading", TBL_ADD_02_Project_Info[[#This Row],[Y/N]]="No"), "", IF(TBL_ADD_02_Project_Info[[#This Row],[Response]]&lt;&gt;"", "", "Add"))</f>
        <v/>
      </c>
      <c r="C134" s="361" t="s">
        <v>88</v>
      </c>
      <c r="D134" s="361">
        <f>K133</f>
        <v>0</v>
      </c>
      <c r="E134" s="248">
        <f>$K$90</f>
        <v>0</v>
      </c>
      <c r="F134" s="361" t="s">
        <v>1974</v>
      </c>
      <c r="G134" s="361" t="s">
        <v>1799</v>
      </c>
      <c r="H134" s="361" t="s">
        <v>346</v>
      </c>
      <c r="I134" s="248" t="str">
        <f>IF(OR(REF_Lotted="No", REF_No_Lots&lt;1, $K$14="Open Procedure", $K$14="Restricted Procedure"), "No", "Yes")</f>
        <v>No</v>
      </c>
      <c r="J134" s="248" t="s">
        <v>1907</v>
      </c>
      <c r="K134" s="329"/>
      <c r="L134" s="248"/>
      <c r="N134" s="367"/>
      <c r="O134" s="367"/>
      <c r="P134" s="367"/>
      <c r="Q134" s="367"/>
      <c r="R134" s="367"/>
      <c r="S134" s="367"/>
      <c r="T134" s="367"/>
      <c r="U134" s="367"/>
      <c r="V134" s="367"/>
      <c r="W134" s="367"/>
    </row>
    <row r="135" spans="1:23">
      <c r="A135" s="361" t="s">
        <v>24</v>
      </c>
      <c r="B135" s="361" t="str">
        <f>IF(OR(TBL_ADD_02_Project_Info[[#This Row],[Type]]="Heading", TBL_ADD_02_Project_Info[[#This Row],[Y/N]]="No"), "", IF(TBL_ADD_02_Project_Info[[#This Row],[Response]]&lt;&gt;"", "", "Add"))</f>
        <v/>
      </c>
      <c r="C135" s="361" t="s">
        <v>88</v>
      </c>
      <c r="D135" s="361">
        <v>1</v>
      </c>
      <c r="E135" s="248" t="s">
        <v>24</v>
      </c>
      <c r="F135" s="361" t="s">
        <v>1974</v>
      </c>
      <c r="G135" s="361" t="s">
        <v>328</v>
      </c>
      <c r="H135" s="361" t="s">
        <v>346</v>
      </c>
      <c r="I135" s="248" t="str">
        <f>IF(OR(REF_Lotted="No", REF_No_Lots&lt;1), "No", "Yes")</f>
        <v>No</v>
      </c>
      <c r="J135" s="248" t="s">
        <v>1993</v>
      </c>
      <c r="K135" s="329" t="str">
        <f>IF(TBL_ADD_02_Project_Info[[#This Row],[Y/N]]="Yes", IF($K$56&lt;&gt;"", $K$56, ""), "")</f>
        <v/>
      </c>
      <c r="L135" s="248"/>
    </row>
    <row r="136" spans="1:23">
      <c r="A136" s="361" t="s">
        <v>24</v>
      </c>
      <c r="B136" s="361" t="str">
        <f>IF(OR(TBL_ADD_02_Project_Info[[#This Row],[Type]]="Heading", TBL_ADD_02_Project_Info[[#This Row],[Y/N]]="No"), "", IF(TBL_ADD_02_Project_Info[[#This Row],[Response]]&lt;&gt;"", "", "Add"))</f>
        <v/>
      </c>
      <c r="C136" s="361" t="s">
        <v>88</v>
      </c>
      <c r="D136" s="361">
        <v>1</v>
      </c>
      <c r="E136" s="329">
        <f>$K$57</f>
        <v>4</v>
      </c>
      <c r="F136" s="361" t="s">
        <v>1974</v>
      </c>
      <c r="G136" s="361" t="s">
        <v>329</v>
      </c>
      <c r="H136" s="361" t="s">
        <v>346</v>
      </c>
      <c r="I136" s="248" t="str">
        <f>IF(OR(REF_Lotted="No", REF_No_Lots&lt;1), "No", "Yes")</f>
        <v>No</v>
      </c>
      <c r="J136" s="248" t="s">
        <v>1994</v>
      </c>
      <c r="K136" s="329" t="str">
        <f>IF(TBL_ADD_02_Project_Info[[#This Row],[Y/N]]="Yes", IF($K$57&lt;&gt;"", $K$57, ""), "")</f>
        <v/>
      </c>
      <c r="L136" s="248"/>
    </row>
    <row r="137" spans="1:23" ht="13">
      <c r="A137" s="361" t="s">
        <v>1882</v>
      </c>
      <c r="B137" s="361" t="str">
        <f>IF(OR(TBL_ADD_02_Project_Info[[#This Row],[Type]]="Heading", TBL_ADD_02_Project_Info[[#This Row],[Y/N]]="No"), "", IF(TBL_ADD_02_Project_Info[[#This Row],[Response]]&lt;&gt;"", "", "Add"))</f>
        <v/>
      </c>
      <c r="C137" s="361"/>
      <c r="D137" s="361" t="s">
        <v>24</v>
      </c>
      <c r="E137" s="248" t="s">
        <v>24</v>
      </c>
      <c r="F137" s="361" t="s">
        <v>24</v>
      </c>
      <c r="G137" s="361" t="s">
        <v>24</v>
      </c>
      <c r="H137" s="361" t="s">
        <v>349</v>
      </c>
      <c r="I137" s="248" t="str">
        <f t="shared" ref="I137:I143" si="3">IF(OR(REF_Lotted="No", REF_No_Lots&lt;2), "No", "Yes")</f>
        <v>No</v>
      </c>
      <c r="J137" s="248" t="s">
        <v>1883</v>
      </c>
      <c r="K137" s="248"/>
      <c r="L137" s="248"/>
    </row>
    <row r="138" spans="1:23">
      <c r="A138" s="361" t="s">
        <v>24</v>
      </c>
      <c r="B138" s="361" t="str">
        <f>IF(OR(TBL_ADD_02_Project_Info[[#This Row],[Type]]="Heading", TBL_ADD_02_Project_Info[[#This Row],[Y/N]]="No"), "", IF(TBL_ADD_02_Project_Info[[#This Row],[Response]]&lt;&gt;"", "", "Add"))</f>
        <v/>
      </c>
      <c r="C138" s="361" t="s">
        <v>88</v>
      </c>
      <c r="D138" s="361" t="s">
        <v>24</v>
      </c>
      <c r="E138" s="248" t="s">
        <v>24</v>
      </c>
      <c r="F138" s="361" t="s">
        <v>24</v>
      </c>
      <c r="G138" s="361" t="s">
        <v>148</v>
      </c>
      <c r="H138" s="361" t="s">
        <v>349</v>
      </c>
      <c r="I138" s="248" t="str">
        <f t="shared" si="3"/>
        <v>No</v>
      </c>
      <c r="J138" s="248" t="s">
        <v>1904</v>
      </c>
      <c r="K138" s="248"/>
      <c r="L138" s="248"/>
    </row>
    <row r="139" spans="1:23">
      <c r="A139" s="361" t="s">
        <v>24</v>
      </c>
      <c r="B139" s="361" t="str">
        <f>IF(OR(TBL_ADD_02_Project_Info[[#This Row],[Type]]="Heading", TBL_ADD_02_Project_Info[[#This Row],[Y/N]]="No"), "", IF(TBL_ADD_02_Project_Info[[#This Row],[Response]]&lt;&gt;"", "", "Add"))</f>
        <v/>
      </c>
      <c r="C139" s="361" t="s">
        <v>88</v>
      </c>
      <c r="D139" s="361" t="s">
        <v>24</v>
      </c>
      <c r="E139" s="248" t="s">
        <v>24</v>
      </c>
      <c r="F139" s="361" t="s">
        <v>24</v>
      </c>
      <c r="G139" s="361" t="s">
        <v>91</v>
      </c>
      <c r="H139" s="361" t="s">
        <v>349</v>
      </c>
      <c r="I139" s="248" t="str">
        <f t="shared" si="3"/>
        <v>No</v>
      </c>
      <c r="J139" s="248" t="s">
        <v>1905</v>
      </c>
      <c r="K139" s="248"/>
      <c r="L139" s="248"/>
    </row>
    <row r="140" spans="1:23">
      <c r="A140" s="361" t="s">
        <v>24</v>
      </c>
      <c r="B140" s="361" t="str">
        <f>IF(OR(TBL_ADD_02_Project_Info[[#This Row],[Type]]="Heading", TBL_ADD_02_Project_Info[[#This Row],[Y/N]]="No"), "", IF(TBL_ADD_02_Project_Info[[#This Row],[Response]]&lt;&gt;"", "", "Add"))</f>
        <v/>
      </c>
      <c r="C140" s="361" t="s">
        <v>88</v>
      </c>
      <c r="D140" s="361" t="str">
        <f>LookUp!$S$1</f>
        <v>LUp_PropType</v>
      </c>
      <c r="E140" s="248" t="s">
        <v>24</v>
      </c>
      <c r="F140" s="361" t="s">
        <v>24</v>
      </c>
      <c r="G140" s="361" t="s">
        <v>1985</v>
      </c>
      <c r="H140" s="361" t="s">
        <v>349</v>
      </c>
      <c r="I140" s="248" t="str">
        <f t="shared" si="3"/>
        <v>No</v>
      </c>
      <c r="J140" s="248" t="s">
        <v>1908</v>
      </c>
      <c r="K140" s="248"/>
      <c r="L140" s="248"/>
    </row>
    <row r="141" spans="1:23">
      <c r="A141" s="361" t="s">
        <v>24</v>
      </c>
      <c r="B141" s="361" t="str">
        <f>IF(OR(TBL_ADD_02_Project_Info[[#This Row],[Type]]="Heading", TBL_ADD_02_Project_Info[[#This Row],[Y/N]]="No"), "", IF(TBL_ADD_02_Project_Info[[#This Row],[Response]]&lt;&gt;"", "", "Add"))</f>
        <v/>
      </c>
      <c r="C141" s="361" t="s">
        <v>88</v>
      </c>
      <c r="D141" s="248">
        <v>0</v>
      </c>
      <c r="E141" s="248">
        <f>$K$33</f>
        <v>20500</v>
      </c>
      <c r="F141" s="361" t="s">
        <v>1973</v>
      </c>
      <c r="G141" s="361" t="s">
        <v>1987</v>
      </c>
      <c r="H141" s="361" t="s">
        <v>349</v>
      </c>
      <c r="I141" s="248" t="str">
        <f t="shared" si="3"/>
        <v>No</v>
      </c>
      <c r="J141" s="248" t="str">
        <f>CONCATENATE("Number of ", IF($K$140&lt;&gt;"", K140, "properties")," applicable to this lot")</f>
        <v>Number of properties applicable to this lot</v>
      </c>
      <c r="K141" s="420"/>
      <c r="L141" s="248"/>
    </row>
    <row r="142" spans="1:23">
      <c r="A142" s="361" t="s">
        <v>24</v>
      </c>
      <c r="B142" s="361" t="str">
        <f>IF(OR(TBL_ADD_02_Project_Info[[#This Row],[Type]]="Heading", TBL_ADD_02_Project_Info[[#This Row],[Y/N]]="No"), "", IF(TBL_ADD_02_Project_Info[[#This Row],[Response]]&lt;&gt;"", "", "Add"))</f>
        <v/>
      </c>
      <c r="C142" s="361" t="s">
        <v>88</v>
      </c>
      <c r="D142" s="248" t="str">
        <f>LookUp!$E$1</f>
        <v>LUp_Approx</v>
      </c>
      <c r="E142" s="248" t="s">
        <v>24</v>
      </c>
      <c r="F142" s="361" t="s">
        <v>24</v>
      </c>
      <c r="G142" s="361" t="s">
        <v>1986</v>
      </c>
      <c r="H142" s="361" t="s">
        <v>349</v>
      </c>
      <c r="I142" s="248" t="str">
        <f t="shared" si="3"/>
        <v>No</v>
      </c>
      <c r="J142" s="248" t="s">
        <v>109</v>
      </c>
      <c r="K142" s="248"/>
      <c r="L142" s="248"/>
    </row>
    <row r="143" spans="1:23">
      <c r="A143" s="361" t="s">
        <v>24</v>
      </c>
      <c r="B143" s="361" t="str">
        <f>IF(OR(TBL_ADD_02_Project_Info[[#This Row],[Type]]="Heading", TBL_ADD_02_Project_Info[[#This Row],[Y/N]]="No"), "", IF(TBL_ADD_02_Project_Info[[#This Row],[Response]]&lt;&gt;"", "", "Add"))</f>
        <v/>
      </c>
      <c r="C143" s="361" t="s">
        <v>88</v>
      </c>
      <c r="D143" s="361" t="str">
        <f>LookUp!$AD$1</f>
        <v>LUp_ValueType</v>
      </c>
      <c r="E143" s="248" t="s">
        <v>24</v>
      </c>
      <c r="F143" s="361" t="s">
        <v>24</v>
      </c>
      <c r="G143" s="361" t="s">
        <v>325</v>
      </c>
      <c r="H143" s="361" t="s">
        <v>349</v>
      </c>
      <c r="I143" s="248" t="str">
        <f t="shared" si="3"/>
        <v>No</v>
      </c>
      <c r="J143" s="248" t="s">
        <v>319</v>
      </c>
      <c r="K143" s="248"/>
      <c r="L143" s="248"/>
    </row>
    <row r="144" spans="1:23">
      <c r="A144" s="361" t="s">
        <v>24</v>
      </c>
      <c r="B144" s="361" t="str">
        <f>IF(OR(TBL_ADD_02_Project_Info[[#This Row],[Type]]="Heading", TBL_ADD_02_Project_Info[[#This Row],[Y/N]]="No"), "", IF(TBL_ADD_02_Project_Info[[#This Row],[Response]]&lt;&gt;"", "", "Add"))</f>
        <v/>
      </c>
      <c r="C144" s="361" t="s">
        <v>88</v>
      </c>
      <c r="D144" s="361">
        <v>0</v>
      </c>
      <c r="E144" s="248" t="s">
        <v>24</v>
      </c>
      <c r="F144" s="361" t="s">
        <v>1975</v>
      </c>
      <c r="G144" s="361" t="s">
        <v>327</v>
      </c>
      <c r="H144" s="361" t="s">
        <v>349</v>
      </c>
      <c r="I144" s="248" t="str">
        <f>IF(OR(REF_Lotted="No", REF_No_Lots&lt;2, $K$143="Single figure", $K$143="N/A"), "No", "Yes")</f>
        <v>No</v>
      </c>
      <c r="J144" s="248" t="s">
        <v>126</v>
      </c>
      <c r="K144" s="421"/>
      <c r="L144" s="248"/>
    </row>
    <row r="145" spans="1:12">
      <c r="A145" s="361" t="s">
        <v>24</v>
      </c>
      <c r="B145" s="361" t="str">
        <f>IF(OR(TBL_ADD_02_Project_Info[[#This Row],[Type]]="Heading", TBL_ADD_02_Project_Info[[#This Row],[Y/N]]="No"), "", IF(TBL_ADD_02_Project_Info[[#This Row],[Response]]&lt;&gt;"", "", "Add"))</f>
        <v/>
      </c>
      <c r="C145" s="361" t="s">
        <v>88</v>
      </c>
      <c r="D145" s="361">
        <f>K144</f>
        <v>0</v>
      </c>
      <c r="E145" s="248" t="s">
        <v>24</v>
      </c>
      <c r="F145" s="361" t="s">
        <v>1975</v>
      </c>
      <c r="G145" s="361" t="s">
        <v>326</v>
      </c>
      <c r="H145" s="361" t="s">
        <v>349</v>
      </c>
      <c r="I145" s="248" t="str">
        <f>IF(OR(REF_Lotted="No", REF_No_Lots&lt;2, $K$143="N/A"), "No", "Yes")</f>
        <v>No</v>
      </c>
      <c r="J145" s="248" t="s">
        <v>125</v>
      </c>
      <c r="K145" s="421"/>
      <c r="L145" s="248"/>
    </row>
    <row r="146" spans="1:12">
      <c r="A146" s="361" t="s">
        <v>24</v>
      </c>
      <c r="B146" s="361" t="str">
        <f>IF(OR(TBL_ADD_02_Project_Info[[#This Row],[Type]]="Heading", TBL_ADD_02_Project_Info[[#This Row],[Y/N]]="No"), "", IF(TBL_ADD_02_Project_Info[[#This Row],[Response]]&lt;&gt;"", "", "Add"))</f>
        <v/>
      </c>
      <c r="C146" s="361" t="s">
        <v>88</v>
      </c>
      <c r="D146" s="361" t="str">
        <f>IF($K$14&lt;&gt;"", IF($K$14="Open Procedure", "", VLOOKUP($K$14, TBL_REF_03_Procedure[], 2, FALSE)), "")</f>
        <v/>
      </c>
      <c r="E146" s="248">
        <f>$K$87</f>
        <v>0</v>
      </c>
      <c r="F146" s="361" t="s">
        <v>1974</v>
      </c>
      <c r="G146" s="361" t="s">
        <v>229</v>
      </c>
      <c r="H146" s="361" t="s">
        <v>349</v>
      </c>
      <c r="I146" s="248" t="str">
        <f>IF(OR(REF_Lotted="No", REF_No_Lots&lt;2, $K$14="Open Procedure"), "No", "Yes")</f>
        <v>No</v>
      </c>
      <c r="J146" s="248" t="str">
        <f>CONCATENATE(IF($K$14="Restricted Procedure", "Tender", "Initial tender"), " - Min. no. to invite for this lot?")</f>
        <v>Initial tender - Min. no. to invite for this lot?</v>
      </c>
      <c r="K146" s="329" t="str">
        <f>IF(TBL_ADD_02_Project_Info[[#This Row],[Y/N]]="Yes", IF($K$86&lt;&gt;"", $K$86, ""), "")</f>
        <v/>
      </c>
      <c r="L146" s="248"/>
    </row>
    <row r="147" spans="1:12">
      <c r="A147" s="361" t="s">
        <v>24</v>
      </c>
      <c r="B147" s="361" t="str">
        <f>IF(OR(TBL_ADD_02_Project_Info[[#This Row],[Type]]="Heading", TBL_ADD_02_Project_Info[[#This Row],[Y/N]]="No"), "", IF(TBL_ADD_02_Project_Info[[#This Row],[Response]]&lt;&gt;"", "", "Add"))</f>
        <v/>
      </c>
      <c r="C147" s="361" t="s">
        <v>88</v>
      </c>
      <c r="D147" s="361" t="str">
        <f>K146</f>
        <v/>
      </c>
      <c r="E147" s="248">
        <f>$K$87</f>
        <v>0</v>
      </c>
      <c r="F147" s="361" t="s">
        <v>1974</v>
      </c>
      <c r="G147" s="361" t="s">
        <v>231</v>
      </c>
      <c r="H147" s="361" t="s">
        <v>349</v>
      </c>
      <c r="I147" s="248" t="str">
        <f>IF(OR(REF_Lotted="No", REF_No_Lots&lt;2, $K$14="Open Procedure"), "No", "Yes")</f>
        <v>No</v>
      </c>
      <c r="J147" s="248" t="str">
        <f>CONCATENATE(IF($K$14="Restricted Procedure", "Tender", "Initial tender"), " - Max. no. to invite for this lot?")</f>
        <v>Initial tender - Max. no. to invite for this lot?</v>
      </c>
      <c r="K147" s="329" t="str">
        <f>IF(TBL_ADD_02_Project_Info[[#This Row],[Y/N]]="Yes", IF($K$87&lt;&gt;"", $K$87, ""), "")</f>
        <v/>
      </c>
      <c r="L147" s="248"/>
    </row>
    <row r="148" spans="1:12">
      <c r="A148" s="361" t="s">
        <v>24</v>
      </c>
      <c r="B148" s="361" t="str">
        <f>IF(OR(TBL_ADD_02_Project_Info[[#This Row],[Type]]="Heading", TBL_ADD_02_Project_Info[[#This Row],[Y/N]]="No"), "", IF(TBL_ADD_02_Project_Info[[#This Row],[Response]]&lt;&gt;"", "", "Add"))</f>
        <v/>
      </c>
      <c r="C148" s="361" t="s">
        <v>88</v>
      </c>
      <c r="D148" s="361" t="s">
        <v>24</v>
      </c>
      <c r="E148" s="248" t="str">
        <f>K147</f>
        <v/>
      </c>
      <c r="F148" s="361" t="s">
        <v>1974</v>
      </c>
      <c r="G148" s="361" t="s">
        <v>581</v>
      </c>
      <c r="H148" s="361" t="s">
        <v>349</v>
      </c>
      <c r="I148" s="248" t="str">
        <f>IF(OR(REF_Lotted="No", REF_No_Lots&lt;2, $K$14="Open Procedure", $K$14="Restricted Procedure"), "No", "Yes")</f>
        <v>No</v>
      </c>
      <c r="J148" s="248" t="str">
        <f>CONCATENATE(IF($K$14="Competitive Dialogue Procedure", "Dialogue", "Negotiations"), " - Min. no. to invite for this lot?")</f>
        <v>Negotiations - Min. no. to invite for this lot?</v>
      </c>
      <c r="K148" s="329"/>
      <c r="L148" s="248"/>
    </row>
    <row r="149" spans="1:12">
      <c r="A149" s="361" t="s">
        <v>24</v>
      </c>
      <c r="B149" s="361" t="str">
        <f>IF(OR(TBL_ADD_02_Project_Info[[#This Row],[Type]]="Heading", TBL_ADD_02_Project_Info[[#This Row],[Y/N]]="No"), "", IF(TBL_ADD_02_Project_Info[[#This Row],[Response]]&lt;&gt;"", "", "Add"))</f>
        <v/>
      </c>
      <c r="C149" s="361" t="s">
        <v>88</v>
      </c>
      <c r="D149" s="361">
        <f>K148</f>
        <v>0</v>
      </c>
      <c r="E149" s="248">
        <f>$K$90</f>
        <v>0</v>
      </c>
      <c r="F149" s="361" t="s">
        <v>1974</v>
      </c>
      <c r="G149" s="361" t="s">
        <v>582</v>
      </c>
      <c r="H149" s="361" t="s">
        <v>349</v>
      </c>
      <c r="I149" s="248" t="str">
        <f>IF(OR(REF_Lotted="No", REF_No_Lots&lt;2, $K$14="Open Procedure", $K$14="Restricted Procedure"), "No", "Yes")</f>
        <v>No</v>
      </c>
      <c r="J149" s="248" t="str">
        <f>CONCATENATE(IF($K$14="Competitive Dialogue Procedure", "Dialogue", "Negotiations"), " - Max. no. to invite for this lot?")</f>
        <v>Negotiations - Max. no. to invite for this lot?</v>
      </c>
      <c r="K149" s="329"/>
      <c r="L149" s="248"/>
    </row>
    <row r="150" spans="1:12">
      <c r="A150" s="361" t="s">
        <v>24</v>
      </c>
      <c r="B150" s="361" t="str">
        <f>IF(OR(TBL_ADD_02_Project_Info[[#This Row],[Type]]="Heading", TBL_ADD_02_Project_Info[[#This Row],[Y/N]]="No"), "", IF(TBL_ADD_02_Project_Info[[#This Row],[Response]]&lt;&gt;"", "", "Add"))</f>
        <v/>
      </c>
      <c r="C150" s="361" t="s">
        <v>88</v>
      </c>
      <c r="D150" s="361" t="s">
        <v>24</v>
      </c>
      <c r="E150" s="248">
        <f>K149</f>
        <v>0</v>
      </c>
      <c r="F150" s="361" t="s">
        <v>1974</v>
      </c>
      <c r="G150" s="361" t="s">
        <v>1798</v>
      </c>
      <c r="H150" s="361" t="s">
        <v>349</v>
      </c>
      <c r="I150" s="248" t="str">
        <f>IF(OR(REF_Lotted="No", REF_No_Lots&lt;2, $K$14="Open Procedure", $K$14="Restricted Procedure"), "No", "Yes")</f>
        <v>No</v>
      </c>
      <c r="J150" s="248" t="s">
        <v>1906</v>
      </c>
      <c r="K150" s="329"/>
      <c r="L150" s="248"/>
    </row>
    <row r="151" spans="1:12">
      <c r="A151" s="361" t="s">
        <v>24</v>
      </c>
      <c r="B151" s="361" t="str">
        <f>IF(OR(TBL_ADD_02_Project_Info[[#This Row],[Type]]="Heading", TBL_ADD_02_Project_Info[[#This Row],[Y/N]]="No"), "", IF(TBL_ADD_02_Project_Info[[#This Row],[Response]]&lt;&gt;"", "", "Add"))</f>
        <v/>
      </c>
      <c r="C151" s="361" t="s">
        <v>88</v>
      </c>
      <c r="D151" s="361">
        <f>K150</f>
        <v>0</v>
      </c>
      <c r="E151" s="248">
        <f>$K$90</f>
        <v>0</v>
      </c>
      <c r="F151" s="361" t="s">
        <v>1974</v>
      </c>
      <c r="G151" s="361" t="s">
        <v>1799</v>
      </c>
      <c r="H151" s="361" t="s">
        <v>349</v>
      </c>
      <c r="I151" s="248" t="str">
        <f>IF(OR(REF_Lotted="No", REF_No_Lots&lt;2, $K$14="Open Procedure", $K$14="Restricted Procedure"), "No", "Yes")</f>
        <v>No</v>
      </c>
      <c r="J151" s="248" t="s">
        <v>1907</v>
      </c>
      <c r="K151" s="329"/>
      <c r="L151" s="248"/>
    </row>
    <row r="152" spans="1:12">
      <c r="A152" s="361" t="s">
        <v>24</v>
      </c>
      <c r="B152" s="361" t="str">
        <f>IF(OR(TBL_ADD_02_Project_Info[[#This Row],[Type]]="Heading", TBL_ADD_02_Project_Info[[#This Row],[Y/N]]="No"), "", IF(TBL_ADD_02_Project_Info[[#This Row],[Response]]&lt;&gt;"", "", "Add"))</f>
        <v/>
      </c>
      <c r="C152" s="361" t="s">
        <v>88</v>
      </c>
      <c r="D152" s="361">
        <v>1</v>
      </c>
      <c r="E152" s="248" t="s">
        <v>24</v>
      </c>
      <c r="F152" s="361" t="s">
        <v>1974</v>
      </c>
      <c r="G152" s="361" t="s">
        <v>328</v>
      </c>
      <c r="H152" s="361" t="s">
        <v>349</v>
      </c>
      <c r="I152" s="248" t="str">
        <f>IF(OR(REF_Lotted="No", REF_No_Lots&lt;2), "No", "Yes")</f>
        <v>No</v>
      </c>
      <c r="J152" s="248" t="s">
        <v>1993</v>
      </c>
      <c r="K152" s="329" t="str">
        <f>IF(TBL_ADD_02_Project_Info[[#This Row],[Y/N]]="Yes", IF($K$56&lt;&gt;"", $K$56, ""), "")</f>
        <v/>
      </c>
      <c r="L152" s="248"/>
    </row>
    <row r="153" spans="1:12">
      <c r="A153" s="361" t="s">
        <v>24</v>
      </c>
      <c r="B153" s="361" t="str">
        <f>IF(OR(TBL_ADD_02_Project_Info[[#This Row],[Type]]="Heading", TBL_ADD_02_Project_Info[[#This Row],[Y/N]]="No"), "", IF(TBL_ADD_02_Project_Info[[#This Row],[Response]]&lt;&gt;"", "", "Add"))</f>
        <v/>
      </c>
      <c r="C153" s="361" t="s">
        <v>88</v>
      </c>
      <c r="D153" s="361">
        <v>1</v>
      </c>
      <c r="E153" s="329">
        <f>$K$57</f>
        <v>4</v>
      </c>
      <c r="F153" s="361" t="s">
        <v>1974</v>
      </c>
      <c r="G153" s="361" t="s">
        <v>329</v>
      </c>
      <c r="H153" s="361" t="s">
        <v>349</v>
      </c>
      <c r="I153" s="248" t="str">
        <f>IF(OR(REF_Lotted="No", REF_No_Lots&lt;2), "No", "Yes")</f>
        <v>No</v>
      </c>
      <c r="J153" s="248" t="s">
        <v>1994</v>
      </c>
      <c r="K153" s="329" t="str">
        <f>IF(TBL_ADD_02_Project_Info[[#This Row],[Y/N]]="Yes", IF($K$57&lt;&gt;"", $K$57, ""), "")</f>
        <v/>
      </c>
      <c r="L153" s="248"/>
    </row>
    <row r="154" spans="1:12" ht="13">
      <c r="A154" s="361" t="s">
        <v>1882</v>
      </c>
      <c r="B154" s="361" t="str">
        <f>IF(OR(TBL_ADD_02_Project_Info[[#This Row],[Type]]="Heading", TBL_ADD_02_Project_Info[[#This Row],[Y/N]]="No"), "", IF(TBL_ADD_02_Project_Info[[#This Row],[Response]]&lt;&gt;"", "", "Add"))</f>
        <v/>
      </c>
      <c r="C154" s="361"/>
      <c r="D154" s="361" t="s">
        <v>24</v>
      </c>
      <c r="E154" s="248" t="s">
        <v>24</v>
      </c>
      <c r="F154" s="361" t="s">
        <v>24</v>
      </c>
      <c r="G154" s="361" t="s">
        <v>24</v>
      </c>
      <c r="H154" s="361" t="s">
        <v>352</v>
      </c>
      <c r="I154" s="248" t="str">
        <f t="shared" ref="I154:I160" si="4">IF(OR(REF_Lotted="No", REF_No_Lots&lt;3), "No", "Yes")</f>
        <v>No</v>
      </c>
      <c r="J154" s="248" t="s">
        <v>1886</v>
      </c>
      <c r="K154" s="248"/>
      <c r="L154" s="248"/>
    </row>
    <row r="155" spans="1:12">
      <c r="A155" s="361" t="s">
        <v>24</v>
      </c>
      <c r="B155" s="361" t="str">
        <f>IF(OR(TBL_ADD_02_Project_Info[[#This Row],[Type]]="Heading", TBL_ADD_02_Project_Info[[#This Row],[Y/N]]="No"), "", IF(TBL_ADD_02_Project_Info[[#This Row],[Response]]&lt;&gt;"", "", "Add"))</f>
        <v/>
      </c>
      <c r="C155" s="361" t="s">
        <v>88</v>
      </c>
      <c r="D155" s="361" t="s">
        <v>24</v>
      </c>
      <c r="E155" s="248" t="s">
        <v>24</v>
      </c>
      <c r="F155" s="361" t="s">
        <v>24</v>
      </c>
      <c r="G155" s="361" t="s">
        <v>148</v>
      </c>
      <c r="H155" s="361" t="s">
        <v>352</v>
      </c>
      <c r="I155" s="248" t="str">
        <f t="shared" si="4"/>
        <v>No</v>
      </c>
      <c r="J155" s="248" t="s">
        <v>1904</v>
      </c>
      <c r="K155" s="248"/>
      <c r="L155" s="248"/>
    </row>
    <row r="156" spans="1:12">
      <c r="A156" s="361" t="s">
        <v>24</v>
      </c>
      <c r="B156" s="361" t="str">
        <f>IF(OR(TBL_ADD_02_Project_Info[[#This Row],[Type]]="Heading", TBL_ADD_02_Project_Info[[#This Row],[Y/N]]="No"), "", IF(TBL_ADD_02_Project_Info[[#This Row],[Response]]&lt;&gt;"", "", "Add"))</f>
        <v/>
      </c>
      <c r="C156" s="361" t="s">
        <v>88</v>
      </c>
      <c r="D156" s="361" t="s">
        <v>24</v>
      </c>
      <c r="E156" s="248" t="s">
        <v>24</v>
      </c>
      <c r="F156" s="361" t="s">
        <v>24</v>
      </c>
      <c r="G156" s="361" t="s">
        <v>91</v>
      </c>
      <c r="H156" s="361" t="s">
        <v>352</v>
      </c>
      <c r="I156" s="248" t="str">
        <f t="shared" si="4"/>
        <v>No</v>
      </c>
      <c r="J156" s="248" t="s">
        <v>1905</v>
      </c>
      <c r="K156" s="248"/>
      <c r="L156" s="248"/>
    </row>
    <row r="157" spans="1:12">
      <c r="A157" s="361" t="s">
        <v>24</v>
      </c>
      <c r="B157" s="361" t="str">
        <f>IF(OR(TBL_ADD_02_Project_Info[[#This Row],[Type]]="Heading", TBL_ADD_02_Project_Info[[#This Row],[Y/N]]="No"), "", IF(TBL_ADD_02_Project_Info[[#This Row],[Response]]&lt;&gt;"", "", "Add"))</f>
        <v/>
      </c>
      <c r="C157" s="361" t="s">
        <v>88</v>
      </c>
      <c r="D157" s="361" t="str">
        <f>LookUp!$S$1</f>
        <v>LUp_PropType</v>
      </c>
      <c r="E157" s="248" t="s">
        <v>24</v>
      </c>
      <c r="F157" s="361" t="s">
        <v>24</v>
      </c>
      <c r="G157" s="361" t="s">
        <v>1985</v>
      </c>
      <c r="H157" s="361" t="s">
        <v>352</v>
      </c>
      <c r="I157" s="248" t="str">
        <f t="shared" si="4"/>
        <v>No</v>
      </c>
      <c r="J157" s="248" t="s">
        <v>1908</v>
      </c>
      <c r="K157" s="248"/>
      <c r="L157" s="248"/>
    </row>
    <row r="158" spans="1:12">
      <c r="A158" s="361" t="s">
        <v>24</v>
      </c>
      <c r="B158" s="361" t="str">
        <f>IF(OR(TBL_ADD_02_Project_Info[[#This Row],[Type]]="Heading", TBL_ADD_02_Project_Info[[#This Row],[Y/N]]="No"), "", IF(TBL_ADD_02_Project_Info[[#This Row],[Response]]&lt;&gt;"", "", "Add"))</f>
        <v/>
      </c>
      <c r="C158" s="361" t="s">
        <v>88</v>
      </c>
      <c r="D158" s="248">
        <v>0</v>
      </c>
      <c r="E158" s="248">
        <f>$K$33</f>
        <v>20500</v>
      </c>
      <c r="F158" s="361" t="s">
        <v>1973</v>
      </c>
      <c r="G158" s="361" t="s">
        <v>1987</v>
      </c>
      <c r="H158" s="361" t="s">
        <v>352</v>
      </c>
      <c r="I158" s="248" t="str">
        <f t="shared" si="4"/>
        <v>No</v>
      </c>
      <c r="J158" s="248" t="str">
        <f>CONCATENATE("Number of ", IF($K$140&lt;&gt;"", K157, "properties")," applicable to this lot")</f>
        <v>Number of properties applicable to this lot</v>
      </c>
      <c r="K158" s="420"/>
      <c r="L158" s="248"/>
    </row>
    <row r="159" spans="1:12">
      <c r="A159" s="361" t="s">
        <v>24</v>
      </c>
      <c r="B159" s="361" t="str">
        <f>IF(OR(TBL_ADD_02_Project_Info[[#This Row],[Type]]="Heading", TBL_ADD_02_Project_Info[[#This Row],[Y/N]]="No"), "", IF(TBL_ADD_02_Project_Info[[#This Row],[Response]]&lt;&gt;"", "", "Add"))</f>
        <v/>
      </c>
      <c r="C159" s="361" t="s">
        <v>88</v>
      </c>
      <c r="D159" s="248" t="str">
        <f>LookUp!$E$1</f>
        <v>LUp_Approx</v>
      </c>
      <c r="E159" s="248" t="s">
        <v>24</v>
      </c>
      <c r="F159" s="361" t="s">
        <v>24</v>
      </c>
      <c r="G159" s="361" t="s">
        <v>1986</v>
      </c>
      <c r="H159" s="361" t="s">
        <v>352</v>
      </c>
      <c r="I159" s="248" t="str">
        <f t="shared" si="4"/>
        <v>No</v>
      </c>
      <c r="J159" s="248" t="s">
        <v>109</v>
      </c>
      <c r="K159" s="248"/>
      <c r="L159" s="248"/>
    </row>
    <row r="160" spans="1:12">
      <c r="A160" s="361" t="s">
        <v>24</v>
      </c>
      <c r="B160" s="361" t="str">
        <f>IF(OR(TBL_ADD_02_Project_Info[[#This Row],[Type]]="Heading", TBL_ADD_02_Project_Info[[#This Row],[Y/N]]="No"), "", IF(TBL_ADD_02_Project_Info[[#This Row],[Response]]&lt;&gt;"", "", "Add"))</f>
        <v/>
      </c>
      <c r="C160" s="361" t="s">
        <v>88</v>
      </c>
      <c r="D160" s="361" t="str">
        <f>LookUp!$AD$1</f>
        <v>LUp_ValueType</v>
      </c>
      <c r="E160" s="248" t="s">
        <v>24</v>
      </c>
      <c r="F160" s="361" t="s">
        <v>24</v>
      </c>
      <c r="G160" s="361" t="s">
        <v>325</v>
      </c>
      <c r="H160" s="361" t="s">
        <v>352</v>
      </c>
      <c r="I160" s="248" t="str">
        <f t="shared" si="4"/>
        <v>No</v>
      </c>
      <c r="J160" s="248" t="s">
        <v>319</v>
      </c>
      <c r="K160" s="248"/>
      <c r="L160" s="248"/>
    </row>
    <row r="161" spans="1:12">
      <c r="A161" s="361" t="s">
        <v>24</v>
      </c>
      <c r="B161" s="361" t="str">
        <f>IF(OR(TBL_ADD_02_Project_Info[[#This Row],[Type]]="Heading", TBL_ADD_02_Project_Info[[#This Row],[Y/N]]="No"), "", IF(TBL_ADD_02_Project_Info[[#This Row],[Response]]&lt;&gt;"", "", "Add"))</f>
        <v/>
      </c>
      <c r="C161" s="361" t="s">
        <v>88</v>
      </c>
      <c r="D161" s="361">
        <v>0</v>
      </c>
      <c r="E161" s="248" t="s">
        <v>24</v>
      </c>
      <c r="F161" s="361" t="s">
        <v>1975</v>
      </c>
      <c r="G161" s="361" t="s">
        <v>327</v>
      </c>
      <c r="H161" s="361" t="s">
        <v>352</v>
      </c>
      <c r="I161" s="248" t="str">
        <f>IF(OR(REF_Lotted="No", REF_No_Lots&lt;3, $K$160="Single figure", $K$160="N/A"), "No", "Yes")</f>
        <v>No</v>
      </c>
      <c r="J161" s="248" t="s">
        <v>126</v>
      </c>
      <c r="K161" s="421"/>
      <c r="L161" s="248"/>
    </row>
    <row r="162" spans="1:12">
      <c r="A162" s="361" t="s">
        <v>24</v>
      </c>
      <c r="B162" s="361" t="str">
        <f>IF(OR(TBL_ADD_02_Project_Info[[#This Row],[Type]]="Heading", TBL_ADD_02_Project_Info[[#This Row],[Y/N]]="No"), "", IF(TBL_ADD_02_Project_Info[[#This Row],[Response]]&lt;&gt;"", "", "Add"))</f>
        <v/>
      </c>
      <c r="C162" s="361" t="s">
        <v>88</v>
      </c>
      <c r="D162" s="361">
        <f>K161</f>
        <v>0</v>
      </c>
      <c r="E162" s="248" t="s">
        <v>24</v>
      </c>
      <c r="F162" s="361" t="s">
        <v>1975</v>
      </c>
      <c r="G162" s="361" t="s">
        <v>326</v>
      </c>
      <c r="H162" s="361" t="s">
        <v>352</v>
      </c>
      <c r="I162" s="248" t="str">
        <f>IF(OR(REF_Lotted="No", REF_No_Lots&lt;3, $K$160="N/A"), "No", "Yes")</f>
        <v>No</v>
      </c>
      <c r="J162" s="248" t="s">
        <v>125</v>
      </c>
      <c r="K162" s="421"/>
      <c r="L162" s="248"/>
    </row>
    <row r="163" spans="1:12">
      <c r="A163" s="361" t="s">
        <v>24</v>
      </c>
      <c r="B163" s="361" t="str">
        <f>IF(OR(TBL_ADD_02_Project_Info[[#This Row],[Type]]="Heading", TBL_ADD_02_Project_Info[[#This Row],[Y/N]]="No"), "", IF(TBL_ADD_02_Project_Info[[#This Row],[Response]]&lt;&gt;"", "", "Add"))</f>
        <v/>
      </c>
      <c r="C163" s="361" t="s">
        <v>88</v>
      </c>
      <c r="D163" s="361" t="str">
        <f>IF($K$14&lt;&gt;"", IF($K$14="Open Procedure", "", VLOOKUP($K$14, TBL_REF_03_Procedure[], 2, FALSE)), "")</f>
        <v/>
      </c>
      <c r="E163" s="248">
        <f>$K$87</f>
        <v>0</v>
      </c>
      <c r="F163" s="361" t="s">
        <v>1974</v>
      </c>
      <c r="G163" s="361" t="s">
        <v>229</v>
      </c>
      <c r="H163" s="361" t="s">
        <v>352</v>
      </c>
      <c r="I163" s="248" t="str">
        <f>IF(OR(REF_Lotted="No", REF_No_Lots&lt;3, $K$14="Open Procedure"), "No", "Yes")</f>
        <v>No</v>
      </c>
      <c r="J163" s="248" t="str">
        <f>CONCATENATE(IF($K$14="Restricted Procedure", "Tender", "Initial tender"), " - Min. no. to invite for this lot?")</f>
        <v>Initial tender - Min. no. to invite for this lot?</v>
      </c>
      <c r="K163" s="329" t="str">
        <f>IF(TBL_ADD_02_Project_Info[[#This Row],[Y/N]]="Yes", IF($K$86&lt;&gt;"", $K$86, ""), "")</f>
        <v/>
      </c>
      <c r="L163" s="248"/>
    </row>
    <row r="164" spans="1:12">
      <c r="A164" s="361" t="s">
        <v>24</v>
      </c>
      <c r="B164" s="361" t="str">
        <f>IF(OR(TBL_ADD_02_Project_Info[[#This Row],[Type]]="Heading", TBL_ADD_02_Project_Info[[#This Row],[Y/N]]="No"), "", IF(TBL_ADD_02_Project_Info[[#This Row],[Response]]&lt;&gt;"", "", "Add"))</f>
        <v/>
      </c>
      <c r="C164" s="361" t="s">
        <v>88</v>
      </c>
      <c r="D164" s="361" t="str">
        <f>K163</f>
        <v/>
      </c>
      <c r="E164" s="248">
        <f>$K$87</f>
        <v>0</v>
      </c>
      <c r="F164" s="361" t="s">
        <v>1974</v>
      </c>
      <c r="G164" s="361" t="s">
        <v>231</v>
      </c>
      <c r="H164" s="361" t="s">
        <v>352</v>
      </c>
      <c r="I164" s="248" t="str">
        <f>IF(OR(REF_Lotted="No", REF_No_Lots&lt;3, $K$14="Open Procedure"), "No", "Yes")</f>
        <v>No</v>
      </c>
      <c r="J164" s="248" t="str">
        <f>CONCATENATE(IF($K$14="Restricted Procedure", "Tender", "Initial tender"), " - Max. no. to invite for this lot?")</f>
        <v>Initial tender - Max. no. to invite for this lot?</v>
      </c>
      <c r="K164" s="329" t="str">
        <f>IF(TBL_ADD_02_Project_Info[[#This Row],[Y/N]]="Yes", IF($K$87&lt;&gt;"", $K$87, ""), "")</f>
        <v/>
      </c>
      <c r="L164" s="248"/>
    </row>
    <row r="165" spans="1:12">
      <c r="A165" s="361" t="s">
        <v>24</v>
      </c>
      <c r="B165" s="361" t="str">
        <f>IF(OR(TBL_ADD_02_Project_Info[[#This Row],[Type]]="Heading", TBL_ADD_02_Project_Info[[#This Row],[Y/N]]="No"), "", IF(TBL_ADD_02_Project_Info[[#This Row],[Response]]&lt;&gt;"", "", "Add"))</f>
        <v/>
      </c>
      <c r="C165" s="361" t="s">
        <v>88</v>
      </c>
      <c r="D165" s="361" t="s">
        <v>24</v>
      </c>
      <c r="E165" s="248" t="str">
        <f>K164</f>
        <v/>
      </c>
      <c r="F165" s="361" t="s">
        <v>1974</v>
      </c>
      <c r="G165" s="361" t="s">
        <v>581</v>
      </c>
      <c r="H165" s="361" t="s">
        <v>352</v>
      </c>
      <c r="I165" s="248" t="str">
        <f>IF(OR(REF_Lotted="No", REF_No_Lots&lt;3, $K$14="Open Procedure", $K$14="Restricted Procedure"), "No", "Yes")</f>
        <v>No</v>
      </c>
      <c r="J165" s="248" t="str">
        <f>CONCATENATE(IF($K$14="Competitive Dialogue Procedure", "Dialogue", "Negotiations"), " - Min. no. to invite for this lot?")</f>
        <v>Negotiations - Min. no. to invite for this lot?</v>
      </c>
      <c r="K165" s="329"/>
      <c r="L165" s="248"/>
    </row>
    <row r="166" spans="1:12">
      <c r="A166" s="361" t="s">
        <v>24</v>
      </c>
      <c r="B166" s="361" t="str">
        <f>IF(OR(TBL_ADD_02_Project_Info[[#This Row],[Type]]="Heading", TBL_ADD_02_Project_Info[[#This Row],[Y/N]]="No"), "", IF(TBL_ADD_02_Project_Info[[#This Row],[Response]]&lt;&gt;"", "", "Add"))</f>
        <v/>
      </c>
      <c r="C166" s="361" t="s">
        <v>88</v>
      </c>
      <c r="D166" s="361">
        <f>K165</f>
        <v>0</v>
      </c>
      <c r="E166" s="248">
        <f>$K$90</f>
        <v>0</v>
      </c>
      <c r="F166" s="361" t="s">
        <v>1974</v>
      </c>
      <c r="G166" s="361" t="s">
        <v>582</v>
      </c>
      <c r="H166" s="361" t="s">
        <v>352</v>
      </c>
      <c r="I166" s="248" t="str">
        <f>IF(OR(REF_Lotted="No", REF_No_Lots&lt;3, $K$14="Open Procedure", $K$14="Restricted Procedure"), "No", "Yes")</f>
        <v>No</v>
      </c>
      <c r="J166" s="248" t="str">
        <f>CONCATENATE(IF($K$14="Competitive Dialogue Procedure", "Dialogue", "Negotiations"), " - Max. no. to invite for this lot?")</f>
        <v>Negotiations - Max. no. to invite for this lot?</v>
      </c>
      <c r="K166" s="329"/>
      <c r="L166" s="248"/>
    </row>
    <row r="167" spans="1:12">
      <c r="A167" s="361" t="s">
        <v>24</v>
      </c>
      <c r="B167" s="361" t="str">
        <f>IF(OR(TBL_ADD_02_Project_Info[[#This Row],[Type]]="Heading", TBL_ADD_02_Project_Info[[#This Row],[Y/N]]="No"), "", IF(TBL_ADD_02_Project_Info[[#This Row],[Response]]&lt;&gt;"", "", "Add"))</f>
        <v/>
      </c>
      <c r="C167" s="361" t="s">
        <v>88</v>
      </c>
      <c r="D167" s="361" t="s">
        <v>24</v>
      </c>
      <c r="E167" s="248">
        <f>K166</f>
        <v>0</v>
      </c>
      <c r="F167" s="361" t="s">
        <v>1974</v>
      </c>
      <c r="G167" s="361" t="s">
        <v>1798</v>
      </c>
      <c r="H167" s="361" t="s">
        <v>352</v>
      </c>
      <c r="I167" s="248" t="str">
        <f>IF(OR(REF_Lotted="No", REF_No_Lots&lt;3, $K$14="Open Procedure", $K$14="Restricted Procedure"), "No", "Yes")</f>
        <v>No</v>
      </c>
      <c r="J167" s="248" t="s">
        <v>1906</v>
      </c>
      <c r="K167" s="329"/>
      <c r="L167" s="248"/>
    </row>
    <row r="168" spans="1:12">
      <c r="A168" s="361" t="s">
        <v>24</v>
      </c>
      <c r="B168" s="361" t="str">
        <f>IF(OR(TBL_ADD_02_Project_Info[[#This Row],[Type]]="Heading", TBL_ADD_02_Project_Info[[#This Row],[Y/N]]="No"), "", IF(TBL_ADD_02_Project_Info[[#This Row],[Response]]&lt;&gt;"", "", "Add"))</f>
        <v/>
      </c>
      <c r="C168" s="361" t="s">
        <v>88</v>
      </c>
      <c r="D168" s="361">
        <f>K167</f>
        <v>0</v>
      </c>
      <c r="E168" s="248">
        <f>$K$90</f>
        <v>0</v>
      </c>
      <c r="F168" s="361" t="s">
        <v>1974</v>
      </c>
      <c r="G168" s="361" t="s">
        <v>1799</v>
      </c>
      <c r="H168" s="361" t="s">
        <v>352</v>
      </c>
      <c r="I168" s="248" t="str">
        <f>IF(OR(REF_Lotted="No", REF_No_Lots&lt;3, $K$14="Open Procedure", $K$14="Restricted Procedure"), "No", "Yes")</f>
        <v>No</v>
      </c>
      <c r="J168" s="248" t="s">
        <v>1907</v>
      </c>
      <c r="K168" s="329"/>
      <c r="L168" s="248"/>
    </row>
    <row r="169" spans="1:12">
      <c r="A169" s="361" t="s">
        <v>24</v>
      </c>
      <c r="B169" s="361" t="str">
        <f>IF(OR(TBL_ADD_02_Project_Info[[#This Row],[Type]]="Heading", TBL_ADD_02_Project_Info[[#This Row],[Y/N]]="No"), "", IF(TBL_ADD_02_Project_Info[[#This Row],[Response]]&lt;&gt;"", "", "Add"))</f>
        <v/>
      </c>
      <c r="C169" s="361" t="s">
        <v>88</v>
      </c>
      <c r="D169" s="361">
        <v>1</v>
      </c>
      <c r="E169" s="248" t="s">
        <v>24</v>
      </c>
      <c r="F169" s="361" t="s">
        <v>1974</v>
      </c>
      <c r="G169" s="361" t="s">
        <v>328</v>
      </c>
      <c r="H169" s="361" t="s">
        <v>352</v>
      </c>
      <c r="I169" s="248" t="str">
        <f>IF(OR(REF_Lotted="No", REF_No_Lots&lt;3), "No", "Yes")</f>
        <v>No</v>
      </c>
      <c r="J169" s="248" t="s">
        <v>1993</v>
      </c>
      <c r="K169" s="329" t="str">
        <f>IF(TBL_ADD_02_Project_Info[[#This Row],[Y/N]]="Yes", IF($K$56&lt;&gt;"", $K$56, ""), "")</f>
        <v/>
      </c>
      <c r="L169" s="248"/>
    </row>
    <row r="170" spans="1:12">
      <c r="A170" s="361" t="s">
        <v>24</v>
      </c>
      <c r="B170" s="361" t="str">
        <f>IF(OR(TBL_ADD_02_Project_Info[[#This Row],[Type]]="Heading", TBL_ADD_02_Project_Info[[#This Row],[Y/N]]="No"), "", IF(TBL_ADD_02_Project_Info[[#This Row],[Response]]&lt;&gt;"", "", "Add"))</f>
        <v/>
      </c>
      <c r="C170" s="361" t="s">
        <v>88</v>
      </c>
      <c r="D170" s="361">
        <v>1</v>
      </c>
      <c r="E170" s="329">
        <f>$K$57</f>
        <v>4</v>
      </c>
      <c r="F170" s="361" t="s">
        <v>1974</v>
      </c>
      <c r="G170" s="361" t="s">
        <v>329</v>
      </c>
      <c r="H170" s="361" t="s">
        <v>352</v>
      </c>
      <c r="I170" s="248" t="str">
        <f>IF(OR(REF_Lotted="No", REF_No_Lots&lt;3), "No", "Yes")</f>
        <v>No</v>
      </c>
      <c r="J170" s="248" t="s">
        <v>1994</v>
      </c>
      <c r="K170" s="329" t="str">
        <f>IF(TBL_ADD_02_Project_Info[[#This Row],[Y/N]]="Yes", IF($K$57&lt;&gt;"", $K$57, ""), "")</f>
        <v/>
      </c>
      <c r="L170" s="248"/>
    </row>
    <row r="171" spans="1:12" ht="13">
      <c r="A171" s="361" t="s">
        <v>1882</v>
      </c>
      <c r="B171" s="361" t="str">
        <f>IF(OR(TBL_ADD_02_Project_Info[[#This Row],[Type]]="Heading", TBL_ADD_02_Project_Info[[#This Row],[Y/N]]="No"), "", IF(TBL_ADD_02_Project_Info[[#This Row],[Response]]&lt;&gt;"", "", "Add"))</f>
        <v/>
      </c>
      <c r="C171" s="361"/>
      <c r="D171" s="361" t="s">
        <v>24</v>
      </c>
      <c r="E171" s="248" t="s">
        <v>24</v>
      </c>
      <c r="F171" s="361" t="s">
        <v>24</v>
      </c>
      <c r="G171" s="361" t="s">
        <v>24</v>
      </c>
      <c r="H171" s="361" t="s">
        <v>351</v>
      </c>
      <c r="I171" s="248" t="str">
        <f t="shared" ref="I171:I177" si="5">IF(OR(REF_Lotted="No", REF_No_Lots&lt;4), "No", "Yes")</f>
        <v>No</v>
      </c>
      <c r="J171" s="248" t="s">
        <v>1887</v>
      </c>
      <c r="K171" s="248"/>
      <c r="L171" s="248"/>
    </row>
    <row r="172" spans="1:12">
      <c r="A172" s="361" t="s">
        <v>24</v>
      </c>
      <c r="B172" s="361" t="str">
        <f>IF(OR(TBL_ADD_02_Project_Info[[#This Row],[Type]]="Heading", TBL_ADD_02_Project_Info[[#This Row],[Y/N]]="No"), "", IF(TBL_ADD_02_Project_Info[[#This Row],[Response]]&lt;&gt;"", "", "Add"))</f>
        <v/>
      </c>
      <c r="C172" s="361" t="s">
        <v>88</v>
      </c>
      <c r="D172" s="361" t="s">
        <v>24</v>
      </c>
      <c r="E172" s="248" t="s">
        <v>24</v>
      </c>
      <c r="F172" s="361" t="s">
        <v>24</v>
      </c>
      <c r="G172" s="361" t="s">
        <v>148</v>
      </c>
      <c r="H172" s="361" t="s">
        <v>351</v>
      </c>
      <c r="I172" s="248" t="str">
        <f t="shared" si="5"/>
        <v>No</v>
      </c>
      <c r="J172" s="248" t="s">
        <v>1904</v>
      </c>
      <c r="K172" s="248"/>
      <c r="L172" s="248"/>
    </row>
    <row r="173" spans="1:12">
      <c r="A173" s="361" t="s">
        <v>24</v>
      </c>
      <c r="B173" s="361" t="str">
        <f>IF(OR(TBL_ADD_02_Project_Info[[#This Row],[Type]]="Heading", TBL_ADD_02_Project_Info[[#This Row],[Y/N]]="No"), "", IF(TBL_ADD_02_Project_Info[[#This Row],[Response]]&lt;&gt;"", "", "Add"))</f>
        <v/>
      </c>
      <c r="C173" s="361" t="s">
        <v>88</v>
      </c>
      <c r="D173" s="361" t="s">
        <v>24</v>
      </c>
      <c r="E173" s="248" t="s">
        <v>24</v>
      </c>
      <c r="F173" s="361" t="s">
        <v>24</v>
      </c>
      <c r="G173" s="361" t="s">
        <v>91</v>
      </c>
      <c r="H173" s="361" t="s">
        <v>351</v>
      </c>
      <c r="I173" s="248" t="str">
        <f t="shared" si="5"/>
        <v>No</v>
      </c>
      <c r="J173" s="248" t="s">
        <v>1905</v>
      </c>
      <c r="K173" s="248"/>
      <c r="L173" s="248"/>
    </row>
    <row r="174" spans="1:12">
      <c r="A174" s="361" t="s">
        <v>24</v>
      </c>
      <c r="B174" s="361" t="str">
        <f>IF(OR(TBL_ADD_02_Project_Info[[#This Row],[Type]]="Heading", TBL_ADD_02_Project_Info[[#This Row],[Y/N]]="No"), "", IF(TBL_ADD_02_Project_Info[[#This Row],[Response]]&lt;&gt;"", "", "Add"))</f>
        <v/>
      </c>
      <c r="C174" s="361" t="s">
        <v>88</v>
      </c>
      <c r="D174" s="361" t="str">
        <f>LookUp!$S$1</f>
        <v>LUp_PropType</v>
      </c>
      <c r="E174" s="248" t="s">
        <v>24</v>
      </c>
      <c r="F174" s="361" t="s">
        <v>24</v>
      </c>
      <c r="G174" s="361" t="s">
        <v>1985</v>
      </c>
      <c r="H174" s="361" t="s">
        <v>351</v>
      </c>
      <c r="I174" s="248" t="str">
        <f t="shared" si="5"/>
        <v>No</v>
      </c>
      <c r="J174" s="248" t="s">
        <v>1908</v>
      </c>
      <c r="K174" s="248"/>
      <c r="L174" s="248"/>
    </row>
    <row r="175" spans="1:12">
      <c r="A175" s="361" t="s">
        <v>24</v>
      </c>
      <c r="B175" s="361" t="str">
        <f>IF(OR(TBL_ADD_02_Project_Info[[#This Row],[Type]]="Heading", TBL_ADD_02_Project_Info[[#This Row],[Y/N]]="No"), "", IF(TBL_ADD_02_Project_Info[[#This Row],[Response]]&lt;&gt;"", "", "Add"))</f>
        <v/>
      </c>
      <c r="C175" s="361" t="s">
        <v>88</v>
      </c>
      <c r="D175" s="248">
        <v>0</v>
      </c>
      <c r="E175" s="248">
        <f>$K$33</f>
        <v>20500</v>
      </c>
      <c r="F175" s="361" t="s">
        <v>1973</v>
      </c>
      <c r="G175" s="361" t="s">
        <v>1987</v>
      </c>
      <c r="H175" s="361" t="s">
        <v>351</v>
      </c>
      <c r="I175" s="248" t="str">
        <f t="shared" si="5"/>
        <v>No</v>
      </c>
      <c r="J175" s="248" t="str">
        <f>CONCATENATE("Number of ", IF($K$140&lt;&gt;"", K174, "properties")," applicable to this lot")</f>
        <v>Number of properties applicable to this lot</v>
      </c>
      <c r="K175" s="420"/>
      <c r="L175" s="248"/>
    </row>
    <row r="176" spans="1:12">
      <c r="A176" s="361" t="s">
        <v>24</v>
      </c>
      <c r="B176" s="361" t="str">
        <f>IF(OR(TBL_ADD_02_Project_Info[[#This Row],[Type]]="Heading", TBL_ADD_02_Project_Info[[#This Row],[Y/N]]="No"), "", IF(TBL_ADD_02_Project_Info[[#This Row],[Response]]&lt;&gt;"", "", "Add"))</f>
        <v/>
      </c>
      <c r="C176" s="361" t="s">
        <v>88</v>
      </c>
      <c r="D176" s="248" t="str">
        <f>LookUp!$E$1</f>
        <v>LUp_Approx</v>
      </c>
      <c r="E176" s="248" t="s">
        <v>24</v>
      </c>
      <c r="F176" s="361" t="s">
        <v>24</v>
      </c>
      <c r="G176" s="361" t="s">
        <v>1986</v>
      </c>
      <c r="H176" s="361" t="s">
        <v>351</v>
      </c>
      <c r="I176" s="248" t="str">
        <f t="shared" si="5"/>
        <v>No</v>
      </c>
      <c r="J176" s="248" t="s">
        <v>109</v>
      </c>
      <c r="K176" s="248"/>
      <c r="L176" s="248"/>
    </row>
    <row r="177" spans="1:12">
      <c r="A177" s="361" t="s">
        <v>24</v>
      </c>
      <c r="B177" s="361" t="str">
        <f>IF(OR(TBL_ADD_02_Project_Info[[#This Row],[Type]]="Heading", TBL_ADD_02_Project_Info[[#This Row],[Y/N]]="No"), "", IF(TBL_ADD_02_Project_Info[[#This Row],[Response]]&lt;&gt;"", "", "Add"))</f>
        <v/>
      </c>
      <c r="C177" s="361" t="s">
        <v>88</v>
      </c>
      <c r="D177" s="361" t="str">
        <f>LookUp!$AD$1</f>
        <v>LUp_ValueType</v>
      </c>
      <c r="E177" s="248" t="s">
        <v>24</v>
      </c>
      <c r="F177" s="361" t="s">
        <v>24</v>
      </c>
      <c r="G177" s="361" t="s">
        <v>325</v>
      </c>
      <c r="H177" s="361" t="s">
        <v>351</v>
      </c>
      <c r="I177" s="248" t="str">
        <f t="shared" si="5"/>
        <v>No</v>
      </c>
      <c r="J177" s="248" t="s">
        <v>319</v>
      </c>
      <c r="K177" s="248"/>
      <c r="L177" s="248"/>
    </row>
    <row r="178" spans="1:12">
      <c r="A178" s="361" t="s">
        <v>24</v>
      </c>
      <c r="B178" s="361" t="str">
        <f>IF(OR(TBL_ADD_02_Project_Info[[#This Row],[Type]]="Heading", TBL_ADD_02_Project_Info[[#This Row],[Y/N]]="No"), "", IF(TBL_ADD_02_Project_Info[[#This Row],[Response]]&lt;&gt;"", "", "Add"))</f>
        <v/>
      </c>
      <c r="C178" s="361" t="s">
        <v>88</v>
      </c>
      <c r="D178" s="361">
        <v>0</v>
      </c>
      <c r="E178" s="248" t="s">
        <v>24</v>
      </c>
      <c r="F178" s="361" t="s">
        <v>1975</v>
      </c>
      <c r="G178" s="361" t="s">
        <v>327</v>
      </c>
      <c r="H178" s="361" t="s">
        <v>351</v>
      </c>
      <c r="I178" s="248" t="str">
        <f>IF(OR(REF_Lotted="No", REF_No_Lots&lt;4, $K$177="Single figure", $K$177="N/A"), "No", "Yes")</f>
        <v>No</v>
      </c>
      <c r="J178" s="248" t="s">
        <v>126</v>
      </c>
      <c r="K178" s="421"/>
      <c r="L178" s="248"/>
    </row>
    <row r="179" spans="1:12">
      <c r="A179" s="361" t="s">
        <v>24</v>
      </c>
      <c r="B179" s="361" t="str">
        <f>IF(OR(TBL_ADD_02_Project_Info[[#This Row],[Type]]="Heading", TBL_ADD_02_Project_Info[[#This Row],[Y/N]]="No"), "", IF(TBL_ADD_02_Project_Info[[#This Row],[Response]]&lt;&gt;"", "", "Add"))</f>
        <v/>
      </c>
      <c r="C179" s="361" t="s">
        <v>88</v>
      </c>
      <c r="D179" s="361">
        <f>K178</f>
        <v>0</v>
      </c>
      <c r="E179" s="248" t="s">
        <v>24</v>
      </c>
      <c r="F179" s="361" t="s">
        <v>1975</v>
      </c>
      <c r="G179" s="361" t="s">
        <v>326</v>
      </c>
      <c r="H179" s="361" t="s">
        <v>351</v>
      </c>
      <c r="I179" s="248" t="str">
        <f>IF(OR(REF_Lotted="No", REF_No_Lots&lt;4, $K$177="N/A"), "No", "Yes")</f>
        <v>No</v>
      </c>
      <c r="J179" s="248" t="s">
        <v>125</v>
      </c>
      <c r="K179" s="421"/>
      <c r="L179" s="248"/>
    </row>
    <row r="180" spans="1:12">
      <c r="A180" s="361" t="s">
        <v>24</v>
      </c>
      <c r="B180" s="361" t="str">
        <f>IF(OR(TBL_ADD_02_Project_Info[[#This Row],[Type]]="Heading", TBL_ADD_02_Project_Info[[#This Row],[Y/N]]="No"), "", IF(TBL_ADD_02_Project_Info[[#This Row],[Response]]&lt;&gt;"", "", "Add"))</f>
        <v/>
      </c>
      <c r="C180" s="361" t="s">
        <v>88</v>
      </c>
      <c r="D180" s="361" t="str">
        <f>IF($K$14&lt;&gt;"", IF($K$14="Open Procedure", "", VLOOKUP($K$14, TBL_REF_03_Procedure[], 2, FALSE)), "")</f>
        <v/>
      </c>
      <c r="E180" s="248">
        <f>$K$87</f>
        <v>0</v>
      </c>
      <c r="F180" s="361" t="s">
        <v>1974</v>
      </c>
      <c r="G180" s="361" t="s">
        <v>229</v>
      </c>
      <c r="H180" s="361" t="s">
        <v>351</v>
      </c>
      <c r="I180" s="248" t="str">
        <f>IF(OR(REF_Lotted="No", REF_No_Lots&lt;4, $K$14="Open Procedure"), "No", "Yes")</f>
        <v>No</v>
      </c>
      <c r="J180" s="248" t="str">
        <f>CONCATENATE(IF($K$14="Restricted Procedure", "Tender", "Initial tender"), " - Min. no. to invite for this lot?")</f>
        <v>Initial tender - Min. no. to invite for this lot?</v>
      </c>
      <c r="K180" s="329" t="str">
        <f>IF(TBL_ADD_02_Project_Info[[#This Row],[Y/N]]="Yes", IF($K$86&lt;&gt;"", $K$86, ""), "")</f>
        <v/>
      </c>
      <c r="L180" s="248"/>
    </row>
    <row r="181" spans="1:12">
      <c r="A181" s="361" t="s">
        <v>24</v>
      </c>
      <c r="B181" s="361" t="str">
        <f>IF(OR(TBL_ADD_02_Project_Info[[#This Row],[Type]]="Heading", TBL_ADD_02_Project_Info[[#This Row],[Y/N]]="No"), "", IF(TBL_ADD_02_Project_Info[[#This Row],[Response]]&lt;&gt;"", "", "Add"))</f>
        <v/>
      </c>
      <c r="C181" s="361" t="s">
        <v>88</v>
      </c>
      <c r="D181" s="361" t="str">
        <f>K180</f>
        <v/>
      </c>
      <c r="E181" s="248">
        <f>$K$87</f>
        <v>0</v>
      </c>
      <c r="F181" s="361" t="s">
        <v>1974</v>
      </c>
      <c r="G181" s="361" t="s">
        <v>231</v>
      </c>
      <c r="H181" s="361" t="s">
        <v>351</v>
      </c>
      <c r="I181" s="248" t="str">
        <f>IF(OR(REF_Lotted="No", REF_No_Lots&lt;4, $K$14="Open Procedure"), "No", "Yes")</f>
        <v>No</v>
      </c>
      <c r="J181" s="248" t="str">
        <f>CONCATENATE(IF($K$14="Restricted Procedure", "Tender", "Initial tender"), " - Max. no. to invite for this lot?")</f>
        <v>Initial tender - Max. no. to invite for this lot?</v>
      </c>
      <c r="K181" s="329" t="str">
        <f>IF(TBL_ADD_02_Project_Info[[#This Row],[Y/N]]="Yes", IF($K$87&lt;&gt;"", $K$87, ""), "")</f>
        <v/>
      </c>
      <c r="L181" s="248"/>
    </row>
    <row r="182" spans="1:12">
      <c r="A182" s="361" t="s">
        <v>24</v>
      </c>
      <c r="B182" s="361" t="str">
        <f>IF(OR(TBL_ADD_02_Project_Info[[#This Row],[Type]]="Heading", TBL_ADD_02_Project_Info[[#This Row],[Y/N]]="No"), "", IF(TBL_ADD_02_Project_Info[[#This Row],[Response]]&lt;&gt;"", "", "Add"))</f>
        <v/>
      </c>
      <c r="C182" s="361" t="s">
        <v>88</v>
      </c>
      <c r="D182" s="361" t="s">
        <v>24</v>
      </c>
      <c r="E182" s="248" t="str">
        <f>K181</f>
        <v/>
      </c>
      <c r="F182" s="361" t="s">
        <v>1974</v>
      </c>
      <c r="G182" s="361" t="s">
        <v>581</v>
      </c>
      <c r="H182" s="361" t="s">
        <v>351</v>
      </c>
      <c r="I182" s="248" t="str">
        <f>IF(OR(REF_Lotted="No", REF_No_Lots&lt;4, $K$14="Open Procedure", $K$14="Restricted Procedure"), "No", "Yes")</f>
        <v>No</v>
      </c>
      <c r="J182" s="248" t="str">
        <f>CONCATENATE(IF($K$14="Competitive Dialogue Procedure", "Dialogue", "Negotiations"), " - Min. no. to invite for this lot?")</f>
        <v>Negotiations - Min. no. to invite for this lot?</v>
      </c>
      <c r="K182" s="329"/>
      <c r="L182" s="248"/>
    </row>
    <row r="183" spans="1:12">
      <c r="A183" s="361" t="s">
        <v>24</v>
      </c>
      <c r="B183" s="361" t="str">
        <f>IF(OR(TBL_ADD_02_Project_Info[[#This Row],[Type]]="Heading", TBL_ADD_02_Project_Info[[#This Row],[Y/N]]="No"), "", IF(TBL_ADD_02_Project_Info[[#This Row],[Response]]&lt;&gt;"", "", "Add"))</f>
        <v/>
      </c>
      <c r="C183" s="361" t="s">
        <v>88</v>
      </c>
      <c r="D183" s="361">
        <f>K182</f>
        <v>0</v>
      </c>
      <c r="E183" s="248">
        <f>$K$90</f>
        <v>0</v>
      </c>
      <c r="F183" s="361" t="s">
        <v>1974</v>
      </c>
      <c r="G183" s="361" t="s">
        <v>582</v>
      </c>
      <c r="H183" s="361" t="s">
        <v>351</v>
      </c>
      <c r="I183" s="248" t="str">
        <f>IF(OR(REF_Lotted="No", REF_No_Lots&lt;4, $K$14="Open Procedure", $K$14="Restricted Procedure"), "No", "Yes")</f>
        <v>No</v>
      </c>
      <c r="J183" s="248" t="str">
        <f>CONCATENATE(IF($K$14="Competitive Dialogue Procedure", "Dialogue", "Negotiations"), " - Max. no. to invite for this lot?")</f>
        <v>Negotiations - Max. no. to invite for this lot?</v>
      </c>
      <c r="K183" s="329"/>
      <c r="L183" s="248"/>
    </row>
    <row r="184" spans="1:12">
      <c r="A184" s="361" t="s">
        <v>24</v>
      </c>
      <c r="B184" s="361" t="str">
        <f>IF(OR(TBL_ADD_02_Project_Info[[#This Row],[Type]]="Heading", TBL_ADD_02_Project_Info[[#This Row],[Y/N]]="No"), "", IF(TBL_ADD_02_Project_Info[[#This Row],[Response]]&lt;&gt;"", "", "Add"))</f>
        <v/>
      </c>
      <c r="C184" s="361" t="s">
        <v>88</v>
      </c>
      <c r="D184" s="361" t="s">
        <v>24</v>
      </c>
      <c r="E184" s="248">
        <f>K183</f>
        <v>0</v>
      </c>
      <c r="F184" s="361" t="s">
        <v>1974</v>
      </c>
      <c r="G184" s="361" t="s">
        <v>1798</v>
      </c>
      <c r="H184" s="361" t="s">
        <v>351</v>
      </c>
      <c r="I184" s="248" t="str">
        <f>IF(OR(REF_Lotted="No", REF_No_Lots&lt;4, $K$14="Open Procedure", $K$14="Restricted Procedure"), "No", "Yes")</f>
        <v>No</v>
      </c>
      <c r="J184" s="248" t="s">
        <v>1906</v>
      </c>
      <c r="K184" s="329"/>
      <c r="L184" s="248"/>
    </row>
    <row r="185" spans="1:12">
      <c r="A185" s="361" t="s">
        <v>24</v>
      </c>
      <c r="B185" s="361" t="str">
        <f>IF(OR(TBL_ADD_02_Project_Info[[#This Row],[Type]]="Heading", TBL_ADD_02_Project_Info[[#This Row],[Y/N]]="No"), "", IF(TBL_ADD_02_Project_Info[[#This Row],[Response]]&lt;&gt;"", "", "Add"))</f>
        <v/>
      </c>
      <c r="C185" s="361" t="s">
        <v>88</v>
      </c>
      <c r="D185" s="361">
        <f>K184</f>
        <v>0</v>
      </c>
      <c r="E185" s="248">
        <f>$K$90</f>
        <v>0</v>
      </c>
      <c r="F185" s="361" t="s">
        <v>1974</v>
      </c>
      <c r="G185" s="361" t="s">
        <v>1799</v>
      </c>
      <c r="H185" s="361" t="s">
        <v>351</v>
      </c>
      <c r="I185" s="248" t="str">
        <f>IF(OR(REF_Lotted="No", REF_No_Lots&lt;4, $K$14="Open Procedure", $K$14="Restricted Procedure"), "No", "Yes")</f>
        <v>No</v>
      </c>
      <c r="J185" s="248" t="s">
        <v>1907</v>
      </c>
      <c r="K185" s="329"/>
      <c r="L185" s="248"/>
    </row>
    <row r="186" spans="1:12">
      <c r="A186" s="361" t="s">
        <v>24</v>
      </c>
      <c r="B186" s="361" t="str">
        <f>IF(OR(TBL_ADD_02_Project_Info[[#This Row],[Type]]="Heading", TBL_ADD_02_Project_Info[[#This Row],[Y/N]]="No"), "", IF(TBL_ADD_02_Project_Info[[#This Row],[Response]]&lt;&gt;"", "", "Add"))</f>
        <v/>
      </c>
      <c r="C186" s="361" t="s">
        <v>88</v>
      </c>
      <c r="D186" s="361">
        <v>1</v>
      </c>
      <c r="E186" s="248" t="s">
        <v>24</v>
      </c>
      <c r="F186" s="361" t="s">
        <v>1974</v>
      </c>
      <c r="G186" s="361" t="s">
        <v>328</v>
      </c>
      <c r="H186" s="361" t="s">
        <v>351</v>
      </c>
      <c r="I186" s="248" t="str">
        <f>IF(OR(REF_Lotted="No", REF_No_Lots&lt;4), "No", "Yes")</f>
        <v>No</v>
      </c>
      <c r="J186" s="248" t="s">
        <v>1993</v>
      </c>
      <c r="K186" s="329" t="str">
        <f>IF(TBL_ADD_02_Project_Info[[#This Row],[Y/N]]="Yes", IF($K$56&lt;&gt;"", $K$56, ""), "")</f>
        <v/>
      </c>
      <c r="L186" s="248"/>
    </row>
    <row r="187" spans="1:12">
      <c r="A187" s="361" t="s">
        <v>24</v>
      </c>
      <c r="B187" s="361" t="str">
        <f>IF(OR(TBL_ADD_02_Project_Info[[#This Row],[Type]]="Heading", TBL_ADD_02_Project_Info[[#This Row],[Y/N]]="No"), "", IF(TBL_ADD_02_Project_Info[[#This Row],[Response]]&lt;&gt;"", "", "Add"))</f>
        <v/>
      </c>
      <c r="C187" s="361" t="s">
        <v>88</v>
      </c>
      <c r="D187" s="361">
        <v>1</v>
      </c>
      <c r="E187" s="329">
        <f>$K$57</f>
        <v>4</v>
      </c>
      <c r="F187" s="361" t="s">
        <v>1974</v>
      </c>
      <c r="G187" s="361" t="s">
        <v>329</v>
      </c>
      <c r="H187" s="361" t="s">
        <v>351</v>
      </c>
      <c r="I187" s="248" t="str">
        <f>IF(OR(REF_Lotted="No", REF_No_Lots&lt;4), "No", "Yes")</f>
        <v>No</v>
      </c>
      <c r="J187" s="248" t="s">
        <v>1994</v>
      </c>
      <c r="K187" s="329" t="str">
        <f>IF(TBL_ADD_02_Project_Info[[#This Row],[Y/N]]="Yes", IF($K$57&lt;&gt;"", $K$57, ""), "")</f>
        <v/>
      </c>
      <c r="L187" s="248"/>
    </row>
    <row r="188" spans="1:12" ht="13">
      <c r="A188" s="361" t="s">
        <v>1882</v>
      </c>
      <c r="B188" s="361" t="str">
        <f>IF(OR(TBL_ADD_02_Project_Info[[#This Row],[Type]]="Heading", TBL_ADD_02_Project_Info[[#This Row],[Y/N]]="No"), "", IF(TBL_ADD_02_Project_Info[[#This Row],[Response]]&lt;&gt;"", "", "Add"))</f>
        <v/>
      </c>
      <c r="C188" s="361"/>
      <c r="D188" s="361" t="s">
        <v>24</v>
      </c>
      <c r="E188" s="248" t="s">
        <v>24</v>
      </c>
      <c r="F188" s="361" t="s">
        <v>24</v>
      </c>
      <c r="G188" s="361" t="s">
        <v>24</v>
      </c>
      <c r="H188" s="361" t="s">
        <v>350</v>
      </c>
      <c r="I188" s="248" t="str">
        <f t="shared" ref="I188:I194" si="6">IF(OR(REF_Lotted="No", REF_No_Lots&lt;5), "No", "Yes")</f>
        <v>No</v>
      </c>
      <c r="J188" s="248" t="s">
        <v>1888</v>
      </c>
      <c r="K188" s="248"/>
      <c r="L188" s="248"/>
    </row>
    <row r="189" spans="1:12">
      <c r="A189" s="361" t="s">
        <v>24</v>
      </c>
      <c r="B189" s="361" t="str">
        <f>IF(OR(TBL_ADD_02_Project_Info[[#This Row],[Type]]="Heading", TBL_ADD_02_Project_Info[[#This Row],[Y/N]]="No"), "", IF(TBL_ADD_02_Project_Info[[#This Row],[Response]]&lt;&gt;"", "", "Add"))</f>
        <v/>
      </c>
      <c r="C189" s="361" t="s">
        <v>88</v>
      </c>
      <c r="D189" s="361" t="s">
        <v>24</v>
      </c>
      <c r="E189" s="248" t="s">
        <v>24</v>
      </c>
      <c r="F189" s="361" t="s">
        <v>24</v>
      </c>
      <c r="G189" s="361" t="s">
        <v>148</v>
      </c>
      <c r="H189" s="361" t="s">
        <v>350</v>
      </c>
      <c r="I189" s="248" t="str">
        <f t="shared" si="6"/>
        <v>No</v>
      </c>
      <c r="J189" s="248" t="s">
        <v>1904</v>
      </c>
      <c r="K189" s="248"/>
      <c r="L189" s="248"/>
    </row>
    <row r="190" spans="1:12">
      <c r="A190" s="361" t="s">
        <v>24</v>
      </c>
      <c r="B190" s="361" t="str">
        <f>IF(OR(TBL_ADD_02_Project_Info[[#This Row],[Type]]="Heading", TBL_ADD_02_Project_Info[[#This Row],[Y/N]]="No"), "", IF(TBL_ADD_02_Project_Info[[#This Row],[Response]]&lt;&gt;"", "", "Add"))</f>
        <v/>
      </c>
      <c r="C190" s="361" t="s">
        <v>88</v>
      </c>
      <c r="D190" s="361" t="s">
        <v>24</v>
      </c>
      <c r="E190" s="248" t="s">
        <v>24</v>
      </c>
      <c r="F190" s="361" t="s">
        <v>24</v>
      </c>
      <c r="G190" s="361" t="s">
        <v>91</v>
      </c>
      <c r="H190" s="361" t="s">
        <v>350</v>
      </c>
      <c r="I190" s="248" t="str">
        <f t="shared" si="6"/>
        <v>No</v>
      </c>
      <c r="J190" s="248" t="s">
        <v>1905</v>
      </c>
      <c r="K190" s="248"/>
      <c r="L190" s="248"/>
    </row>
    <row r="191" spans="1:12">
      <c r="A191" s="361" t="s">
        <v>24</v>
      </c>
      <c r="B191" s="361" t="str">
        <f>IF(OR(TBL_ADD_02_Project_Info[[#This Row],[Type]]="Heading", TBL_ADD_02_Project_Info[[#This Row],[Y/N]]="No"), "", IF(TBL_ADD_02_Project_Info[[#This Row],[Response]]&lt;&gt;"", "", "Add"))</f>
        <v/>
      </c>
      <c r="C191" s="361" t="s">
        <v>88</v>
      </c>
      <c r="D191" s="361" t="str">
        <f>LookUp!$S$1</f>
        <v>LUp_PropType</v>
      </c>
      <c r="E191" s="248" t="s">
        <v>24</v>
      </c>
      <c r="F191" s="361" t="s">
        <v>24</v>
      </c>
      <c r="G191" s="361" t="s">
        <v>1985</v>
      </c>
      <c r="H191" s="361" t="s">
        <v>350</v>
      </c>
      <c r="I191" s="248" t="str">
        <f t="shared" si="6"/>
        <v>No</v>
      </c>
      <c r="J191" s="248" t="s">
        <v>1908</v>
      </c>
      <c r="K191" s="248"/>
      <c r="L191" s="248"/>
    </row>
    <row r="192" spans="1:12">
      <c r="A192" s="361" t="s">
        <v>24</v>
      </c>
      <c r="B192" s="361" t="str">
        <f>IF(OR(TBL_ADD_02_Project_Info[[#This Row],[Type]]="Heading", TBL_ADD_02_Project_Info[[#This Row],[Y/N]]="No"), "", IF(TBL_ADD_02_Project_Info[[#This Row],[Response]]&lt;&gt;"", "", "Add"))</f>
        <v/>
      </c>
      <c r="C192" s="361" t="s">
        <v>88</v>
      </c>
      <c r="D192" s="248">
        <v>0</v>
      </c>
      <c r="E192" s="248">
        <f>$K$33</f>
        <v>20500</v>
      </c>
      <c r="F192" s="361" t="s">
        <v>1973</v>
      </c>
      <c r="G192" s="361" t="s">
        <v>1987</v>
      </c>
      <c r="H192" s="361" t="s">
        <v>350</v>
      </c>
      <c r="I192" s="248" t="str">
        <f t="shared" si="6"/>
        <v>No</v>
      </c>
      <c r="J192" s="248" t="str">
        <f>CONCATENATE("Number of ", IF($K$140&lt;&gt;"", K191, "properties")," applicable to this lot")</f>
        <v>Number of properties applicable to this lot</v>
      </c>
      <c r="K192" s="420"/>
      <c r="L192" s="248"/>
    </row>
    <row r="193" spans="1:12">
      <c r="A193" s="361" t="s">
        <v>24</v>
      </c>
      <c r="B193" s="361" t="str">
        <f>IF(OR(TBL_ADD_02_Project_Info[[#This Row],[Type]]="Heading", TBL_ADD_02_Project_Info[[#This Row],[Y/N]]="No"), "", IF(TBL_ADD_02_Project_Info[[#This Row],[Response]]&lt;&gt;"", "", "Add"))</f>
        <v/>
      </c>
      <c r="C193" s="361" t="s">
        <v>88</v>
      </c>
      <c r="D193" s="248" t="str">
        <f>LookUp!$E$1</f>
        <v>LUp_Approx</v>
      </c>
      <c r="E193" s="248" t="s">
        <v>24</v>
      </c>
      <c r="F193" s="361" t="s">
        <v>24</v>
      </c>
      <c r="G193" s="361" t="s">
        <v>1986</v>
      </c>
      <c r="H193" s="361" t="s">
        <v>350</v>
      </c>
      <c r="I193" s="248" t="str">
        <f t="shared" si="6"/>
        <v>No</v>
      </c>
      <c r="J193" s="248" t="s">
        <v>109</v>
      </c>
      <c r="K193" s="248"/>
      <c r="L193" s="248"/>
    </row>
    <row r="194" spans="1:12">
      <c r="A194" s="361" t="s">
        <v>24</v>
      </c>
      <c r="B194" s="361" t="str">
        <f>IF(OR(TBL_ADD_02_Project_Info[[#This Row],[Type]]="Heading", TBL_ADD_02_Project_Info[[#This Row],[Y/N]]="No"), "", IF(TBL_ADD_02_Project_Info[[#This Row],[Response]]&lt;&gt;"", "", "Add"))</f>
        <v/>
      </c>
      <c r="C194" s="361" t="s">
        <v>88</v>
      </c>
      <c r="D194" s="361" t="str">
        <f>LookUp!$AD$1</f>
        <v>LUp_ValueType</v>
      </c>
      <c r="E194" s="248" t="s">
        <v>24</v>
      </c>
      <c r="F194" s="361" t="s">
        <v>24</v>
      </c>
      <c r="G194" s="361" t="s">
        <v>325</v>
      </c>
      <c r="H194" s="361" t="s">
        <v>350</v>
      </c>
      <c r="I194" s="248" t="str">
        <f t="shared" si="6"/>
        <v>No</v>
      </c>
      <c r="J194" s="248" t="s">
        <v>319</v>
      </c>
      <c r="K194" s="248"/>
      <c r="L194" s="248"/>
    </row>
    <row r="195" spans="1:12">
      <c r="A195" s="361" t="s">
        <v>24</v>
      </c>
      <c r="B195" s="361" t="str">
        <f>IF(OR(TBL_ADD_02_Project_Info[[#This Row],[Type]]="Heading", TBL_ADD_02_Project_Info[[#This Row],[Y/N]]="No"), "", IF(TBL_ADD_02_Project_Info[[#This Row],[Response]]&lt;&gt;"", "", "Add"))</f>
        <v/>
      </c>
      <c r="C195" s="361" t="s">
        <v>88</v>
      </c>
      <c r="D195" s="361">
        <v>0</v>
      </c>
      <c r="E195" s="248" t="s">
        <v>24</v>
      </c>
      <c r="F195" s="361" t="s">
        <v>1975</v>
      </c>
      <c r="G195" s="361" t="s">
        <v>327</v>
      </c>
      <c r="H195" s="361" t="s">
        <v>350</v>
      </c>
      <c r="I195" s="248" t="str">
        <f>IF(OR(REF_Lotted="No", REF_No_Lots&lt;5, $K$194="Single figure", $K$194="N/A"), "No", "Yes")</f>
        <v>No</v>
      </c>
      <c r="J195" s="248" t="s">
        <v>126</v>
      </c>
      <c r="K195" s="421"/>
      <c r="L195" s="248"/>
    </row>
    <row r="196" spans="1:12">
      <c r="A196" s="361" t="s">
        <v>24</v>
      </c>
      <c r="B196" s="361" t="str">
        <f>IF(OR(TBL_ADD_02_Project_Info[[#This Row],[Type]]="Heading", TBL_ADD_02_Project_Info[[#This Row],[Y/N]]="No"), "", IF(TBL_ADD_02_Project_Info[[#This Row],[Response]]&lt;&gt;"", "", "Add"))</f>
        <v/>
      </c>
      <c r="C196" s="361" t="s">
        <v>88</v>
      </c>
      <c r="D196" s="361">
        <f>K195</f>
        <v>0</v>
      </c>
      <c r="E196" s="248" t="s">
        <v>24</v>
      </c>
      <c r="F196" s="361" t="s">
        <v>1975</v>
      </c>
      <c r="G196" s="361" t="s">
        <v>326</v>
      </c>
      <c r="H196" s="361" t="s">
        <v>350</v>
      </c>
      <c r="I196" s="248" t="str">
        <f>IF(OR(REF_Lotted="No", REF_No_Lots&lt;5, $K$194="N/A"), "No", "Yes")</f>
        <v>No</v>
      </c>
      <c r="J196" s="248" t="s">
        <v>125</v>
      </c>
      <c r="K196" s="421"/>
      <c r="L196" s="248"/>
    </row>
    <row r="197" spans="1:12">
      <c r="A197" s="361" t="s">
        <v>24</v>
      </c>
      <c r="B197" s="361" t="str">
        <f>IF(OR(TBL_ADD_02_Project_Info[[#This Row],[Type]]="Heading", TBL_ADD_02_Project_Info[[#This Row],[Y/N]]="No"), "", IF(TBL_ADD_02_Project_Info[[#This Row],[Response]]&lt;&gt;"", "", "Add"))</f>
        <v/>
      </c>
      <c r="C197" s="361" t="s">
        <v>88</v>
      </c>
      <c r="D197" s="361" t="str">
        <f>IF($K$14&lt;&gt;"", IF($K$14="Open Procedure", "", VLOOKUP($K$14, TBL_REF_03_Procedure[], 2, FALSE)), "")</f>
        <v/>
      </c>
      <c r="E197" s="248">
        <f>$K$87</f>
        <v>0</v>
      </c>
      <c r="F197" s="361" t="s">
        <v>1974</v>
      </c>
      <c r="G197" s="361" t="s">
        <v>229</v>
      </c>
      <c r="H197" s="361" t="s">
        <v>350</v>
      </c>
      <c r="I197" s="248" t="str">
        <f>IF(OR(REF_Lotted="No", REF_No_Lots&lt;5, $K$14="Open Procedure"), "No", "Yes")</f>
        <v>No</v>
      </c>
      <c r="J197" s="248" t="str">
        <f>CONCATENATE(IF($K$14="Restricted Procedure", "Tender", "Initial tender"), " - Min. no. to invite for this lot?")</f>
        <v>Initial tender - Min. no. to invite for this lot?</v>
      </c>
      <c r="K197" s="329" t="str">
        <f>IF(TBL_ADD_02_Project_Info[[#This Row],[Y/N]]="Yes", IF($K$86&lt;&gt;"", $K$86, ""), "")</f>
        <v/>
      </c>
      <c r="L197" s="248"/>
    </row>
    <row r="198" spans="1:12">
      <c r="A198" s="361" t="s">
        <v>24</v>
      </c>
      <c r="B198" s="361" t="str">
        <f>IF(OR(TBL_ADD_02_Project_Info[[#This Row],[Type]]="Heading", TBL_ADD_02_Project_Info[[#This Row],[Y/N]]="No"), "", IF(TBL_ADD_02_Project_Info[[#This Row],[Response]]&lt;&gt;"", "", "Add"))</f>
        <v/>
      </c>
      <c r="C198" s="361" t="s">
        <v>88</v>
      </c>
      <c r="D198" s="361" t="str">
        <f>K197</f>
        <v/>
      </c>
      <c r="E198" s="248">
        <f>$K$87</f>
        <v>0</v>
      </c>
      <c r="F198" s="361" t="s">
        <v>1974</v>
      </c>
      <c r="G198" s="361" t="s">
        <v>231</v>
      </c>
      <c r="H198" s="361" t="s">
        <v>350</v>
      </c>
      <c r="I198" s="248" t="str">
        <f>IF(OR(REF_Lotted="No", REF_No_Lots&lt;5, $K$14="Open Procedure"), "No", "Yes")</f>
        <v>No</v>
      </c>
      <c r="J198" s="248" t="str">
        <f>CONCATENATE(IF($K$14="Restricted Procedure", "Tender", "Initial tender"), " - Max. no. to invite for this lot?")</f>
        <v>Initial tender - Max. no. to invite for this lot?</v>
      </c>
      <c r="K198" s="329" t="str">
        <f>IF(TBL_ADD_02_Project_Info[[#This Row],[Y/N]]="Yes", IF($K$87&lt;&gt;"", $K$87, ""), "")</f>
        <v/>
      </c>
      <c r="L198" s="248"/>
    </row>
    <row r="199" spans="1:12">
      <c r="A199" s="361" t="s">
        <v>24</v>
      </c>
      <c r="B199" s="361" t="str">
        <f>IF(OR(TBL_ADD_02_Project_Info[[#This Row],[Type]]="Heading", TBL_ADD_02_Project_Info[[#This Row],[Y/N]]="No"), "", IF(TBL_ADD_02_Project_Info[[#This Row],[Response]]&lt;&gt;"", "", "Add"))</f>
        <v/>
      </c>
      <c r="C199" s="361" t="s">
        <v>88</v>
      </c>
      <c r="D199" s="361" t="s">
        <v>24</v>
      </c>
      <c r="E199" s="248" t="str">
        <f>K198</f>
        <v/>
      </c>
      <c r="F199" s="361" t="s">
        <v>1974</v>
      </c>
      <c r="G199" s="361" t="s">
        <v>581</v>
      </c>
      <c r="H199" s="361" t="s">
        <v>350</v>
      </c>
      <c r="I199" s="248" t="str">
        <f>IF(OR(REF_Lotted="No", REF_No_Lots&lt;5, $K$14="Open Procedure", $K$14="Restricted Procedure"), "No", "Yes")</f>
        <v>No</v>
      </c>
      <c r="J199" s="248" t="str">
        <f>CONCATENATE(IF($K$14="Competitive Dialogue Procedure", "Dialogue", "Negotiations"), " - Min. no. to invite for this lot?")</f>
        <v>Negotiations - Min. no. to invite for this lot?</v>
      </c>
      <c r="K199" s="329"/>
      <c r="L199" s="248"/>
    </row>
    <row r="200" spans="1:12">
      <c r="A200" s="361" t="s">
        <v>24</v>
      </c>
      <c r="B200" s="361" t="str">
        <f>IF(OR(TBL_ADD_02_Project_Info[[#This Row],[Type]]="Heading", TBL_ADD_02_Project_Info[[#This Row],[Y/N]]="No"), "", IF(TBL_ADD_02_Project_Info[[#This Row],[Response]]&lt;&gt;"", "", "Add"))</f>
        <v/>
      </c>
      <c r="C200" s="361" t="s">
        <v>88</v>
      </c>
      <c r="D200" s="361">
        <f>K199</f>
        <v>0</v>
      </c>
      <c r="E200" s="248">
        <f>$K$90</f>
        <v>0</v>
      </c>
      <c r="F200" s="361" t="s">
        <v>1974</v>
      </c>
      <c r="G200" s="361" t="s">
        <v>582</v>
      </c>
      <c r="H200" s="361" t="s">
        <v>350</v>
      </c>
      <c r="I200" s="248" t="str">
        <f>IF(OR(REF_Lotted="No", REF_No_Lots&lt;5, $K$14="Open Procedure", $K$14="Restricted Procedure"), "No", "Yes")</f>
        <v>No</v>
      </c>
      <c r="J200" s="248" t="str">
        <f>CONCATENATE(IF($K$14="Competitive Dialogue Procedure", "Dialogue", "Negotiations"), " - Max. no. to invite for this lot?")</f>
        <v>Negotiations - Max. no. to invite for this lot?</v>
      </c>
      <c r="K200" s="329"/>
      <c r="L200" s="248"/>
    </row>
    <row r="201" spans="1:12">
      <c r="A201" s="361" t="s">
        <v>24</v>
      </c>
      <c r="B201" s="361" t="str">
        <f>IF(OR(TBL_ADD_02_Project_Info[[#This Row],[Type]]="Heading", TBL_ADD_02_Project_Info[[#This Row],[Y/N]]="No"), "", IF(TBL_ADD_02_Project_Info[[#This Row],[Response]]&lt;&gt;"", "", "Add"))</f>
        <v/>
      </c>
      <c r="C201" s="361" t="s">
        <v>88</v>
      </c>
      <c r="D201" s="361" t="s">
        <v>24</v>
      </c>
      <c r="E201" s="248">
        <f>K200</f>
        <v>0</v>
      </c>
      <c r="F201" s="361" t="s">
        <v>1974</v>
      </c>
      <c r="G201" s="361" t="s">
        <v>1798</v>
      </c>
      <c r="H201" s="361" t="s">
        <v>350</v>
      </c>
      <c r="I201" s="248" t="str">
        <f>IF(OR(REF_Lotted="No", REF_No_Lots&lt;5, $K$14="Open Procedure", $K$14="Restricted Procedure"), "No", "Yes")</f>
        <v>No</v>
      </c>
      <c r="J201" s="248" t="s">
        <v>1906</v>
      </c>
      <c r="K201" s="329"/>
      <c r="L201" s="248"/>
    </row>
    <row r="202" spans="1:12">
      <c r="A202" s="361" t="s">
        <v>24</v>
      </c>
      <c r="B202" s="361" t="str">
        <f>IF(OR(TBL_ADD_02_Project_Info[[#This Row],[Type]]="Heading", TBL_ADD_02_Project_Info[[#This Row],[Y/N]]="No"), "", IF(TBL_ADD_02_Project_Info[[#This Row],[Response]]&lt;&gt;"", "", "Add"))</f>
        <v/>
      </c>
      <c r="C202" s="361" t="s">
        <v>88</v>
      </c>
      <c r="D202" s="361">
        <f>K201</f>
        <v>0</v>
      </c>
      <c r="E202" s="248">
        <f>$K$90</f>
        <v>0</v>
      </c>
      <c r="F202" s="361" t="s">
        <v>1974</v>
      </c>
      <c r="G202" s="361" t="s">
        <v>1799</v>
      </c>
      <c r="H202" s="361" t="s">
        <v>350</v>
      </c>
      <c r="I202" s="248" t="str">
        <f>IF(OR(REF_Lotted="No", REF_No_Lots&lt;5, $K$14="Open Procedure", $K$14="Restricted Procedure"), "No", "Yes")</f>
        <v>No</v>
      </c>
      <c r="J202" s="248" t="s">
        <v>1907</v>
      </c>
      <c r="K202" s="329"/>
      <c r="L202" s="248"/>
    </row>
    <row r="203" spans="1:12">
      <c r="A203" s="361" t="s">
        <v>24</v>
      </c>
      <c r="B203" s="361" t="str">
        <f>IF(OR(TBL_ADD_02_Project_Info[[#This Row],[Type]]="Heading", TBL_ADD_02_Project_Info[[#This Row],[Y/N]]="No"), "", IF(TBL_ADD_02_Project_Info[[#This Row],[Response]]&lt;&gt;"", "", "Add"))</f>
        <v/>
      </c>
      <c r="C203" s="361" t="s">
        <v>88</v>
      </c>
      <c r="D203" s="361">
        <v>1</v>
      </c>
      <c r="E203" s="248" t="s">
        <v>24</v>
      </c>
      <c r="F203" s="361" t="s">
        <v>1974</v>
      </c>
      <c r="G203" s="361" t="s">
        <v>328</v>
      </c>
      <c r="H203" s="361" t="s">
        <v>350</v>
      </c>
      <c r="I203" s="248" t="str">
        <f>IF(OR(REF_Lotted="No", REF_No_Lots&lt;5), "No", "Yes")</f>
        <v>No</v>
      </c>
      <c r="J203" s="248" t="s">
        <v>1993</v>
      </c>
      <c r="K203" s="329" t="str">
        <f>IF(TBL_ADD_02_Project_Info[[#This Row],[Y/N]]="Yes", IF($K$56&lt;&gt;"", $K$56, ""), "")</f>
        <v/>
      </c>
      <c r="L203" s="248"/>
    </row>
    <row r="204" spans="1:12">
      <c r="A204" s="361" t="s">
        <v>24</v>
      </c>
      <c r="B204" s="361" t="str">
        <f>IF(OR(TBL_ADD_02_Project_Info[[#This Row],[Type]]="Heading", TBL_ADD_02_Project_Info[[#This Row],[Y/N]]="No"), "", IF(TBL_ADD_02_Project_Info[[#This Row],[Response]]&lt;&gt;"", "", "Add"))</f>
        <v/>
      </c>
      <c r="C204" s="361" t="s">
        <v>88</v>
      </c>
      <c r="D204" s="361">
        <v>1</v>
      </c>
      <c r="E204" s="329">
        <f>$K$57</f>
        <v>4</v>
      </c>
      <c r="F204" s="361" t="s">
        <v>1974</v>
      </c>
      <c r="G204" s="361" t="s">
        <v>329</v>
      </c>
      <c r="H204" s="361" t="s">
        <v>350</v>
      </c>
      <c r="I204" s="248" t="str">
        <f>IF(OR(REF_Lotted="No", REF_No_Lots&lt;5), "No", "Yes")</f>
        <v>No</v>
      </c>
      <c r="J204" s="248" t="s">
        <v>1994</v>
      </c>
      <c r="K204" s="329" t="str">
        <f>IF(TBL_ADD_02_Project_Info[[#This Row],[Y/N]]="Yes", IF($K$57&lt;&gt;"", $K$57, ""), "")</f>
        <v/>
      </c>
      <c r="L204" s="248"/>
    </row>
  </sheetData>
  <sheetProtection algorithmName="SHA-512" hashValue="2PDzgfT5yI7G/7H4Xr9upxmFU2OjlQoPtQchMX7sDhQhQgvxoBpHEM/484sGO+9OR/c5iJ3MjOahFhbSwuso2Q==" saltValue="g+/OVFm3XpwEBH9D8KSJDg==" spinCount="100000" sheet="1" formatRows="0" autoFilter="0"/>
  <protectedRanges>
    <protectedRange sqref="L30 L46 K4:K204 L20" name="Data"/>
  </protectedRanges>
  <dataConsolidate/>
  <phoneticPr fontId="106" type="noConversion"/>
  <conditionalFormatting sqref="A1:G1 I1:L1 A2:L1048576">
    <cfRule type="expression" dxfId="155" priority="19">
      <formula>INDIRECT("A"&amp;ROW())="Heading"</formula>
    </cfRule>
    <cfRule type="expression" dxfId="154" priority="58">
      <formula>INDIRECT("I"&amp;ROW())="No"</formula>
    </cfRule>
  </conditionalFormatting>
  <conditionalFormatting sqref="K1:K1048576">
    <cfRule type="expression" dxfId="153" priority="237">
      <formula>INDIRECT("B"&amp;ROW())="Add"</formula>
    </cfRule>
  </conditionalFormatting>
  <conditionalFormatting sqref="L1:L1048576">
    <cfRule type="expression" dxfId="152" priority="88">
      <formula>INDIRECT("C"&amp;ROW())="Add"</formula>
    </cfRule>
    <cfRule type="expression" dxfId="151" priority="227">
      <formula>INDIRECT("C"&amp;ROW())="Note"</formula>
    </cfRule>
    <cfRule type="expression" dxfId="150" priority="235">
      <formula>INDIRECT("C"&amp;ROW())="Error!"</formula>
    </cfRule>
    <cfRule type="expression" dxfId="149" priority="236">
      <formula>INDIRECT("C"&amp;ROW())="Shade"</formula>
    </cfRule>
  </conditionalFormatting>
  <conditionalFormatting sqref="N1">
    <cfRule type="containsText" dxfId="148" priority="17" operator="containsText" text="Incomplete">
      <formula>NOT(ISERROR(SEARCH("Incomplete",N1)))</formula>
    </cfRule>
  </conditionalFormatting>
  <dataValidations count="27">
    <dataValidation type="list" allowBlank="1" showInputMessage="1" showErrorMessage="1" sqref="K75:K80" xr:uid="{ED085CD3-2E22-484E-B825-115B910097A2}">
      <formula1>"Yes, No"</formula1>
    </dataValidation>
    <dataValidation type="decimal" allowBlank="1" showInputMessage="1" showErrorMessage="1" sqref="L92 L86 L89" xr:uid="{ADE1589F-57FB-44F0-BD69-DB36A3124E90}">
      <formula1>0</formula1>
      <formula2>9.99999999999999E+47</formula2>
    </dataValidation>
    <dataValidation type="whole" operator="greaterThanOrEqual" allowBlank="1" showInputMessage="1" showErrorMessage="1" sqref="K47" xr:uid="{8702EC5D-5DA5-4AAF-9168-CF7FFC076369}">
      <formula1>1</formula1>
    </dataValidation>
    <dataValidation type="whole" allowBlank="1" showInputMessage="1" showErrorMessage="1" errorTitle="Invalid entry" error="The number entered must be greater than or equal to 1 but less than the number of lots." sqref="K59" xr:uid="{11C34F73-DC61-4B2E-9A22-51F9B54C4616}">
      <formula1>D59</formula1>
      <formula2>E59</formula2>
    </dataValidation>
    <dataValidation type="list" allowBlank="1" showInputMessage="1" showErrorMessage="1" sqref="K22 K51:K52 K34:K35 K48 K60 K14:K20 K82:K84 K98 K32 K71:K72 K95 K100:K106 K68:K69 K58 K66 K109:K113 K116:K119 K123 K125:K126 K37:K46 K140 K142:K143 K157 K159:K160 K174 K176:K177 K191 K193:K194 K27:K30 K25" xr:uid="{BA5D0B73-CE0F-46D1-85E4-1C9FDA307EFC}">
      <formula1>INDIRECT(D14)</formula1>
    </dataValidation>
    <dataValidation type="whole" allowBlank="1" showInputMessage="1" showErrorMessage="1" sqref="K124 K141 K158 K175 K192" xr:uid="{B3D7AE94-A86F-4BCE-9617-9E3DA6F083D7}">
      <formula1>D124</formula1>
      <formula2>E124</formula2>
    </dataValidation>
    <dataValidation type="whole" errorStyle="warning" operator="greaterThanOrEqual" allowBlank="1" showInputMessage="1" showErrorMessage="1" errorTitle="Minimum number not met" error="Minimium number of Tenderers is:_x000a_Restricted - 5 Tenderers_x000a_Negotiation / Dialogue - 3 Tenderers" sqref="K86" xr:uid="{91FFD9FA-743F-4AD0-B2F8-5367DA7868E0}">
      <formula1>$D$86</formula1>
    </dataValidation>
    <dataValidation type="list" allowBlank="1" showInputMessage="1" showErrorMessage="1" sqref="K47" xr:uid="{E2253579-4286-4E4C-8980-9F8117A3C22D}">
      <formula1>"Contract Administrator, Client Representative, Alliance Manager"</formula1>
    </dataValidation>
    <dataValidation type="whole" allowBlank="1" showInputMessage="1" showErrorMessage="1" sqref="K47" xr:uid="{A12E8359-0B21-4D46-B9C2-37B621709044}">
      <formula1>1</formula1>
      <formula2>9.99999999999999E+29</formula2>
    </dataValidation>
    <dataValidation type="whole" operator="greaterThanOrEqual" allowBlank="1" showInputMessage="1" showErrorMessage="1" errorTitle="Invalid entry" error="Must be greater than or equal to 1." sqref="K135 K203 K152 K169 K186 K56" xr:uid="{05361225-F95E-4ECB-9FAA-F343D067FC22}">
      <formula1>D56</formula1>
    </dataValidation>
    <dataValidation type="whole" operator="greaterThanOrEqual" allowBlank="1" showInputMessage="1" showErrorMessage="1" errorTitle="Invalid entry" error="Must be greater than or equal to the minimum number to be appointed." sqref="K57" xr:uid="{E2B27789-5522-4CD9-95C1-4FC89AB89B72}">
      <formula1>D57</formula1>
    </dataValidation>
    <dataValidation type="whole" operator="greaterThan" allowBlank="1" showInputMessage="1" showErrorMessage="1" errorTitle="Invalid entry" error="Must be greater than 0." sqref="K49" xr:uid="{DB88EA2F-64A3-4093-A4AA-13C00BF99C78}">
      <formula1>D49</formula1>
    </dataValidation>
    <dataValidation type="whole" operator="greaterThanOrEqual" allowBlank="1" showInputMessage="1" showErrorMessage="1" errorTitle="Invalid entry" error="Must be greater than or equal to the minimum duration." sqref="K50" xr:uid="{06F7379B-4A1D-413D-BE3B-27DDFCED3715}">
      <formula1>D50</formula1>
    </dataValidation>
    <dataValidation type="whole" operator="greaterThanOrEqual" allowBlank="1" showInputMessage="1" showErrorMessage="1" errorTitle="Invalid entry" error="Must be greater than or equal to £0." sqref="K53 K62:K65" xr:uid="{948C3CAC-1342-4AB4-9561-86075CEF859E}">
      <formula1>D53</formula1>
    </dataValidation>
    <dataValidation type="whole" operator="greaterThanOrEqual" allowBlank="1" showInputMessage="1" showErrorMessage="1" errorTitle="Invalid entry" error="Must be greater than or equal to the minimum value." sqref="K54" xr:uid="{46F76CDD-8CEA-4134-96A8-7EA85D23277D}">
      <formula1>D54</formula1>
    </dataValidation>
    <dataValidation type="whole" allowBlank="1" showInputMessage="1" showErrorMessage="1" sqref="L45:L47 L57" xr:uid="{63854F99-34CF-474E-BCC4-07F5D4ADE95B}">
      <formula1>0</formula1>
      <formula2>9.99999999999999E+51</formula2>
    </dataValidation>
    <dataValidation type="whole" operator="greaterThanOrEqual" allowBlank="1" showInputMessage="1" showErrorMessage="1" errorTitle="Invalid entry" error="Must be greater than or equal to 0." sqref="K33" xr:uid="{1BF62EA6-E33C-434A-BEC9-7DD367B27E66}">
      <formula1>D33</formula1>
    </dataValidation>
    <dataValidation type="whole" operator="greaterThanOrEqual" allowBlank="1" showInputMessage="1" showErrorMessage="1" errorTitle="Invalid entry" error="Number cannot be less than the minimum" sqref="K90 K87 K93" xr:uid="{6A96BB27-08B2-4C0C-B469-72E06C54DB0E}">
      <formula1>D87</formula1>
    </dataValidation>
    <dataValidation type="decimal" allowBlank="1" showInputMessage="1" showErrorMessage="1" errorTitle="Invalid entry" error="Please enter a figure between 0 and 100" sqref="K96:K97" xr:uid="{8751A181-60A6-44C8-BA80-998E14EE40F5}">
      <formula1>D96</formula1>
      <formula2>E96</formula2>
    </dataValidation>
    <dataValidation type="decimal" operator="greaterThanOrEqual" allowBlank="1" showInputMessage="1" showErrorMessage="1" sqref="K127 K144 K161 K178 K195" xr:uid="{827094CF-CDF0-4A5C-AF29-B1FA52D10548}">
      <formula1>D127</formula1>
    </dataValidation>
    <dataValidation type="decimal" operator="greaterThan" allowBlank="1" showInputMessage="1" showErrorMessage="1" errorTitle="Invalid entry" sqref="K128 K145 K162 K179 K196" xr:uid="{92AEEF9A-8EB7-4D7F-B740-3E507C75CF17}">
      <formula1>D128</formula1>
    </dataValidation>
    <dataValidation type="whole" errorStyle="warning" operator="lessThanOrEqual" allowBlank="1" showInputMessage="1" showErrorMessage="1" errorTitle="Exceeds previous number" error="Minimium number of Tenderers cannot be more than the number invited at the previous stage" sqref="K131 K92 K89 K133 K148 K150 K165 K167 K182 K184 K199 K201" xr:uid="{18967452-44FF-4802-96F5-CD43950E8CA1}">
      <formula1>E89</formula1>
    </dataValidation>
    <dataValidation type="whole" allowBlank="1" showInputMessage="1" showErrorMessage="1" errorTitle="Invalid entry" error="Number cannot be less than the minimum nor exceed the maximum to invited across all lots" sqref="K136 K153 K170 K187 K204" xr:uid="{637C1309-06FA-4870-9AEF-73CE4D83E8BE}">
      <formula1>D136</formula1>
      <formula2>E136</formula2>
    </dataValidation>
    <dataValidation type="whole" errorStyle="warning" allowBlank="1" showInputMessage="1" showErrorMessage="1" errorTitle="Minimum number not met" error="Minimium number of Tenderers is:_x000a_Restricted - 5 Tenderers_x000a_Negotiation / Dialogue - 3 Tenderers" sqref="K129 K146 K163 K180 K197" xr:uid="{E269EE4A-2CB3-4953-A920-26F7686D8C65}">
      <formula1>D129</formula1>
      <formula2>E129</formula2>
    </dataValidation>
    <dataValidation type="whole" allowBlank="1" showInputMessage="1" showErrorMessage="1" errorTitle="Invalid number" error="Number cannot be less than the minimum" sqref="K130 K147 K164 K181 K198" xr:uid="{7E7B2E9B-7D5C-49BD-8699-1DE1C46508B7}">
      <formula1>D130</formula1>
      <formula2>E130</formula2>
    </dataValidation>
    <dataValidation type="whole" allowBlank="1" showInputMessage="1" showErrorMessage="1" errorTitle="Invalid entry" error="Number cannot be less than the minimum and cannot exceed the maximum number across all lots" sqref="K132 K134 K149 K151 K166 K168 K183 K185 K200 K202" xr:uid="{01B67248-66CA-4CD7-A288-71E636D5E662}">
      <formula1>D132</formula1>
      <formula2>E132</formula2>
    </dataValidation>
    <dataValidation type="whole" operator="greaterThanOrEqual" allowBlank="1" showInputMessage="1" showErrorMessage="1" errorTitle="Invalid entry" error="Must be greater than or equal to 2." sqref="K23" xr:uid="{A8B08783-FA0C-46D5-A0DB-77319F550939}">
      <formula1>D23</formula1>
    </dataValidation>
  </dataValidations>
  <pageMargins left="0.25" right="0.25" top="0.75" bottom="0.75" header="0.3" footer="0.3"/>
  <pageSetup paperSize="9" orientation="landscape" r:id="rId1"/>
  <headerFooter>
    <oddHeader>&amp;L&amp;F - &amp;A</oddHeader>
    <oddFooter>&amp;C&amp;P of &amp;N</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73D2C6D-F87F-4F2D-B407-D8BBDAED0932}">
          <x14:formula1>
            <xm:f>LookUp!$G$2:$G$6</xm:f>
          </x14:formula1>
          <xm:sqref>K73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K51"/>
  <sheetViews>
    <sheetView zoomScaleNormal="100" workbookViewId="0">
      <pane xSplit="7" ySplit="3" topLeftCell="H4" activePane="bottomRight" state="frozen"/>
      <selection activeCell="F1" sqref="F1"/>
      <selection pane="topRight" activeCell="H1" sqref="H1"/>
      <selection pane="bottomLeft" activeCell="F4" sqref="F4"/>
      <selection pane="bottomRight" activeCell="I62" sqref="I62"/>
    </sheetView>
  </sheetViews>
  <sheetFormatPr defaultColWidth="9.08984375" defaultRowHeight="12.5"/>
  <cols>
    <col min="1" max="1" width="7.36328125" style="12" hidden="1" customWidth="1"/>
    <col min="2" max="2" width="9.6328125" style="16" hidden="1" customWidth="1"/>
    <col min="3" max="3" width="11.453125" style="12" hidden="1" customWidth="1"/>
    <col min="4" max="4" width="10.6328125" style="12" hidden="1" customWidth="1"/>
    <col min="5" max="5" width="15.36328125" style="12" hidden="1" customWidth="1"/>
    <col min="6" max="6" width="6.08984375" style="12" customWidth="1"/>
    <col min="7" max="7" width="25.36328125" style="12" customWidth="1"/>
    <col min="8" max="8" width="15.36328125" style="12" customWidth="1"/>
    <col min="9" max="9" width="21.6328125" style="12" customWidth="1"/>
    <col min="10" max="16384" width="9.08984375" style="12"/>
  </cols>
  <sheetData>
    <row r="1" spans="1:11" ht="17.5">
      <c r="A1" s="422"/>
      <c r="F1" s="422" t="s">
        <v>2077</v>
      </c>
      <c r="K1" s="524" t="str">
        <f>IF(COUNTIF(TBL_ADD_03_Dates[D_Check], "Add")&gt;0, "Incomplete", "Complete")</f>
        <v>Incomplete</v>
      </c>
    </row>
    <row r="3" spans="1:11">
      <c r="A3" s="370" t="s">
        <v>330</v>
      </c>
      <c r="B3" s="96" t="s">
        <v>448</v>
      </c>
      <c r="C3" s="96" t="s">
        <v>416</v>
      </c>
      <c r="D3" s="383" t="s">
        <v>1914</v>
      </c>
      <c r="E3" s="97" t="s">
        <v>466</v>
      </c>
      <c r="F3" s="383" t="s">
        <v>2018</v>
      </c>
      <c r="G3" s="98" t="s">
        <v>20</v>
      </c>
      <c r="H3" s="99" t="s">
        <v>21</v>
      </c>
      <c r="I3" s="98" t="s">
        <v>99</v>
      </c>
      <c r="J3" s="385"/>
    </row>
    <row r="4" spans="1:11" ht="13" hidden="1">
      <c r="A4" s="373" t="s">
        <v>1882</v>
      </c>
      <c r="B4" s="373" t="s">
        <v>2159</v>
      </c>
      <c r="C4" s="375" t="s">
        <v>24</v>
      </c>
      <c r="D4" s="374" t="str">
        <f>IF(OR(TBL_ADD_03_Dates[[#This Row],[Y/N]]="No", TBL_ADD_03_Dates[[#This Row],[Type]]="Heading"), "", IF(TBL_ADD_03_Dates[[#This Row],[Date]]&lt;&gt;"", "", "Add"))</f>
        <v/>
      </c>
      <c r="E4" s="80" t="str">
        <f>IF(AND(TBL_ADD_03_Dates[[#This Row],[Y/N]]="Yes", TBL_ADD_03_Dates[[#This Row],[Date]]&lt;&gt;""), IF(OR(TBL_ADD_03_Dates[[#This Row],[Day of the Week]]="Saturday", TBL_ADD_03_Dates[[#This Row],[Day of the Week]]="Sunday"), "Error!", ""), "")</f>
        <v/>
      </c>
      <c r="F4" s="374" t="str">
        <f>IF('Project Info'!$K$14="Open Procedure", "No", "Yes")</f>
        <v>No</v>
      </c>
      <c r="G4" s="248" t="s">
        <v>243</v>
      </c>
      <c r="H4" s="372"/>
      <c r="I4" s="371" t="str">
        <f>IF(TBL_ADD_03_Dates[[#This Row],[Type]]="Heading", "", IF(TBL_ADD_03_Dates[[#This Row],[Activity]]="Time", "Note: use XX:XX format", IF(TBL_ADD_03_Dates[[#This Row],[Date]]="N/A", "N/A", IF(TBL_ADD_03_Dates[[#This Row],[Date]]&lt;&gt;"", TEXT(TBL_ADD_03_Dates[[#This Row],[Date]], "DDDD"), ""))))</f>
        <v/>
      </c>
      <c r="J4" s="385"/>
    </row>
    <row r="5" spans="1:11" hidden="1">
      <c r="A5" s="373" t="s">
        <v>24</v>
      </c>
      <c r="B5" s="373" t="s">
        <v>2159</v>
      </c>
      <c r="C5" s="375" t="s">
        <v>450</v>
      </c>
      <c r="D5" s="374" t="str">
        <f>IF(OR(TBL_ADD_03_Dates[[#This Row],[Y/N]]="No", TBL_ADD_03_Dates[[#This Row],[Type]]="Heading"), "", IF(TBL_ADD_03_Dates[[#This Row],[Date]]&lt;&gt;"", "", "Add"))</f>
        <v/>
      </c>
      <c r="E5" s="80" t="str">
        <f>IF(AND(TBL_ADD_03_Dates[[#This Row],[Y/N]]="Yes", TBL_ADD_03_Dates[[#This Row],[Date]]&lt;&gt;""), IF(OR(TBL_ADD_03_Dates[[#This Row],[Day of the Week]]="Saturday", TBL_ADD_03_Dates[[#This Row],[Day of the Week]]="Sunday"), "Error!", ""), "")</f>
        <v/>
      </c>
      <c r="F5" s="374" t="str">
        <f>IF('Project Info'!$K$14="Open Procedure", "No", "Yes")</f>
        <v>No</v>
      </c>
      <c r="G5" s="98" t="s">
        <v>244</v>
      </c>
      <c r="H5" s="376"/>
      <c r="I5" s="371" t="str">
        <f>IF(TBL_ADD_03_Dates[[#This Row],[Type]]="Heading", "", IF(TBL_ADD_03_Dates[[#This Row],[Activity]]="Time", "Note: use XX:XX format", IF(TBL_ADD_03_Dates[[#This Row],[Date]]="N/A", "N/A", IF(TBL_ADD_03_Dates[[#This Row],[Date]]&lt;&gt;"", TEXT(TBL_ADD_03_Dates[[#This Row],[Date]], "DDDD"), ""))))</f>
        <v/>
      </c>
      <c r="J5" s="385"/>
    </row>
    <row r="6" spans="1:11" hidden="1">
      <c r="A6" s="373" t="s">
        <v>24</v>
      </c>
      <c r="B6" s="373" t="s">
        <v>2159</v>
      </c>
      <c r="C6" s="375" t="s">
        <v>451</v>
      </c>
      <c r="D6" s="374" t="str">
        <f>IF(OR(TBL_ADD_03_Dates[[#This Row],[Y/N]]="No", TBL_ADD_03_Dates[[#This Row],[Type]]="Heading"), "", IF(TBL_ADD_03_Dates[[#This Row],[Date]]&lt;&gt;"", "", "Add"))</f>
        <v/>
      </c>
      <c r="E6" s="80" t="str">
        <f>IF(AND(TBL_ADD_03_Dates[[#This Row],[Y/N]]="Yes", TBL_ADD_03_Dates[[#This Row],[Date]]&lt;&gt;""), IF(OR(TBL_ADD_03_Dates[[#This Row],[Day of the Week]]="Saturday", TBL_ADD_03_Dates[[#This Row],[Day of the Week]]="Sunday"), "Error!", ""), "")</f>
        <v/>
      </c>
      <c r="F6" s="374" t="str">
        <f>IF('Project Info'!$K$14="Open Procedure", "No", "Yes")</f>
        <v>No</v>
      </c>
      <c r="G6" s="98" t="s">
        <v>245</v>
      </c>
      <c r="H6" s="376" t="str">
        <f>IF(AND(H5&lt;&gt;"", H7&lt;&gt;""), H7-9, "")</f>
        <v/>
      </c>
      <c r="I6" s="371" t="str">
        <f>IF(TBL_ADD_03_Dates[[#This Row],[Type]]="Heading", "", IF(TBL_ADD_03_Dates[[#This Row],[Activity]]="Time", "Note: use XX:XX format", IF(TBL_ADD_03_Dates[[#This Row],[Date]]="N/A", "N/A", IF(TBL_ADD_03_Dates[[#This Row],[Date]]&lt;&gt;"", TEXT(TBL_ADD_03_Dates[[#This Row],[Date]], "DDDD"), ""))))</f>
        <v/>
      </c>
      <c r="J6" s="385"/>
    </row>
    <row r="7" spans="1:11" hidden="1">
      <c r="A7" s="373" t="s">
        <v>24</v>
      </c>
      <c r="B7" s="373" t="s">
        <v>2159</v>
      </c>
      <c r="C7" s="375" t="s">
        <v>452</v>
      </c>
      <c r="D7" s="374" t="str">
        <f>IF(OR(TBL_ADD_03_Dates[[#This Row],[Y/N]]="No", TBL_ADD_03_Dates[[#This Row],[Type]]="Heading"), "", IF(TBL_ADD_03_Dates[[#This Row],[Date]]&lt;&gt;"", "", "Add"))</f>
        <v/>
      </c>
      <c r="E7" s="80" t="str">
        <f>IF(AND(TBL_ADD_03_Dates[[#This Row],[Y/N]]="Yes", TBL_ADD_03_Dates[[#This Row],[Date]]&lt;&gt;""), IF(OR(TBL_ADD_03_Dates[[#This Row],[Day of the Week]]="Saturday", TBL_ADD_03_Dates[[#This Row],[Day of the Week]]="Sunday"), "Error!", ""), "")</f>
        <v/>
      </c>
      <c r="F7" s="374" t="str">
        <f>IF('Project Info'!$K$14="Open Procedure", "No", "Yes")</f>
        <v>No</v>
      </c>
      <c r="G7" s="98" t="s">
        <v>246</v>
      </c>
      <c r="H7" s="376" t="str">
        <f>IF(H5&lt;&gt;"", H5+30, "")</f>
        <v/>
      </c>
      <c r="I7" s="371" t="str">
        <f>IF(TBL_ADD_03_Dates[[#This Row],[Type]]="Heading", "", IF(TBL_ADD_03_Dates[[#This Row],[Activity]]="Time", "Note: use XX:XX format", IF(TBL_ADD_03_Dates[[#This Row],[Date]]="N/A", "N/A", IF(TBL_ADD_03_Dates[[#This Row],[Date]]&lt;&gt;"", TEXT(TBL_ADD_03_Dates[[#This Row],[Date]], "DDDD"), ""))))</f>
        <v/>
      </c>
      <c r="J7" s="385"/>
    </row>
    <row r="8" spans="1:11" hidden="1">
      <c r="A8" s="373" t="s">
        <v>453</v>
      </c>
      <c r="B8" s="373" t="s">
        <v>2159</v>
      </c>
      <c r="C8" s="375" t="s">
        <v>453</v>
      </c>
      <c r="D8" s="374" t="str">
        <f>IF(OR(TBL_ADD_03_Dates[[#This Row],[Y/N]]="No", TBL_ADD_03_Dates[[#This Row],[Type]]="Heading"), "", IF(TBL_ADD_03_Dates[[#This Row],[Date]]&lt;&gt;"", "", "Add"))</f>
        <v/>
      </c>
      <c r="E8" s="384" t="s">
        <v>24</v>
      </c>
      <c r="F8" s="374" t="str">
        <f>IF('Project Info'!$K$14="Open Procedure", "No", "Yes")</f>
        <v>No</v>
      </c>
      <c r="G8" s="98" t="s">
        <v>247</v>
      </c>
      <c r="H8" s="377"/>
      <c r="I8" s="371" t="str">
        <f>IF(TBL_ADD_03_Dates[[#This Row],[Type]]="Heading", "", IF(TBL_ADD_03_Dates[[#This Row],[Activity]]="Time", "Note: use XX:XX format", IF(TBL_ADD_03_Dates[[#This Row],[Date]]="N/A", "N/A", IF(TBL_ADD_03_Dates[[#This Row],[Date]]&lt;&gt;"", TEXT(TBL_ADD_03_Dates[[#This Row],[Date]], "DDDD"), ""))))</f>
        <v>Note: use XX:XX format</v>
      </c>
      <c r="J8" s="385"/>
    </row>
    <row r="9" spans="1:11" hidden="1">
      <c r="A9" s="373" t="s">
        <v>24</v>
      </c>
      <c r="B9" s="373" t="s">
        <v>2159</v>
      </c>
      <c r="C9" s="375" t="s">
        <v>454</v>
      </c>
      <c r="D9" s="374" t="str">
        <f>IF(OR(TBL_ADD_03_Dates[[#This Row],[Y/N]]="No", TBL_ADD_03_Dates[[#This Row],[Type]]="Heading"), "", IF(TBL_ADD_03_Dates[[#This Row],[Date]]&lt;&gt;"", "", "Add"))</f>
        <v/>
      </c>
      <c r="E9" s="80" t="str">
        <f>IF(AND(TBL_ADD_03_Dates[[#This Row],[Y/N]]="Yes", TBL_ADD_03_Dates[[#This Row],[Date]]&lt;&gt;""), IF(OR(TBL_ADD_03_Dates[[#This Row],[Day of the Week]]="Saturday", TBL_ADD_03_Dates[[#This Row],[Day of the Week]]="Sunday"), "Error!", ""), "")</f>
        <v/>
      </c>
      <c r="F9" s="374" t="str">
        <f>IF('Project Info'!$K$14="Open Procedure", "No", "Yes")</f>
        <v>No</v>
      </c>
      <c r="G9" s="98" t="s">
        <v>248</v>
      </c>
      <c r="H9" s="376"/>
      <c r="I9" s="371" t="str">
        <f>IF(TBL_ADD_03_Dates[[#This Row],[Type]]="Heading", "", IF(TBL_ADD_03_Dates[[#This Row],[Activity]]="Time", "Note: use XX:XX format", IF(TBL_ADD_03_Dates[[#This Row],[Date]]="N/A", "N/A", IF(TBL_ADD_03_Dates[[#This Row],[Date]]&lt;&gt;"", TEXT(TBL_ADD_03_Dates[[#This Row],[Date]], "DDDD"), ""))))</f>
        <v/>
      </c>
      <c r="J9" s="385"/>
    </row>
    <row r="10" spans="1:11" hidden="1">
      <c r="A10" s="373" t="s">
        <v>24</v>
      </c>
      <c r="B10" s="373" t="s">
        <v>2159</v>
      </c>
      <c r="C10" s="375" t="s">
        <v>455</v>
      </c>
      <c r="D10" s="374" t="str">
        <f>IF(OR(TBL_ADD_03_Dates[[#This Row],[Y/N]]="No", TBL_ADD_03_Dates[[#This Row],[Type]]="Heading"), "", IF(TBL_ADD_03_Dates[[#This Row],[Date]]&lt;&gt;"", "", "Add"))</f>
        <v/>
      </c>
      <c r="E10" s="80" t="str">
        <f>IF(AND(TBL_ADD_03_Dates[[#This Row],[Y/N]]="Yes", TBL_ADD_03_Dates[[#This Row],[Date]]&lt;&gt;""), IF(OR(TBL_ADD_03_Dates[[#This Row],[Day of the Week]]="Saturday", TBL_ADD_03_Dates[[#This Row],[Day of the Week]]="Sunday"), "Error!", ""), "")</f>
        <v/>
      </c>
      <c r="F10" s="374" t="str">
        <f>IF('Project Info'!$K$14="Open Procedure", "No", "Yes")</f>
        <v>No</v>
      </c>
      <c r="G10" s="98" t="s">
        <v>249</v>
      </c>
      <c r="H10" s="376"/>
      <c r="I10" s="371" t="str">
        <f>IF(TBL_ADD_03_Dates[[#This Row],[Type]]="Heading", "", IF(TBL_ADD_03_Dates[[#This Row],[Activity]]="Time", "Note: use XX:XX format", IF(TBL_ADD_03_Dates[[#This Row],[Date]]="N/A", "N/A", IF(TBL_ADD_03_Dates[[#This Row],[Date]]&lt;&gt;"", TEXT(TBL_ADD_03_Dates[[#This Row],[Date]], "DDDD"), ""))))</f>
        <v/>
      </c>
      <c r="J10" s="385"/>
    </row>
    <row r="11" spans="1:11" hidden="1">
      <c r="A11" s="373" t="s">
        <v>24</v>
      </c>
      <c r="B11" s="373" t="s">
        <v>2159</v>
      </c>
      <c r="C11" s="375" t="s">
        <v>456</v>
      </c>
      <c r="D11" s="374" t="str">
        <f>IF(OR(TBL_ADD_03_Dates[[#This Row],[Y/N]]="No", TBL_ADD_03_Dates[[#This Row],[Type]]="Heading"), "", IF(TBL_ADD_03_Dates[[#This Row],[Date]]&lt;&gt;"", "", "Add"))</f>
        <v/>
      </c>
      <c r="E11" s="80" t="str">
        <f>IF(AND(TBL_ADD_03_Dates[[#This Row],[Y/N]]="Yes", TBL_ADD_03_Dates[[#This Row],[Date]]&lt;&gt;""), IF(OR(TBL_ADD_03_Dates[[#This Row],[Day of the Week]]="Saturday", TBL_ADD_03_Dates[[#This Row],[Day of the Week]]="Sunday"), "Error!", ""), "")</f>
        <v/>
      </c>
      <c r="F11" s="374" t="str">
        <f>IF('Project Info'!$K$14="Open Procedure", "No", "Yes")</f>
        <v>No</v>
      </c>
      <c r="G11" s="98" t="s">
        <v>250</v>
      </c>
      <c r="H11" s="376"/>
      <c r="I11" s="371" t="str">
        <f>IF(TBL_ADD_03_Dates[[#This Row],[Type]]="Heading", "", IF(TBL_ADD_03_Dates[[#This Row],[Activity]]="Time", "Note: use XX:XX format", IF(TBL_ADD_03_Dates[[#This Row],[Date]]="N/A", "N/A", IF(TBL_ADD_03_Dates[[#This Row],[Date]]&lt;&gt;"", TEXT(TBL_ADD_03_Dates[[#This Row],[Date]], "DDDD"), ""))))</f>
        <v/>
      </c>
      <c r="J11" s="385"/>
    </row>
    <row r="12" spans="1:11" hidden="1">
      <c r="A12" s="373" t="s">
        <v>24</v>
      </c>
      <c r="B12" s="373" t="s">
        <v>2159</v>
      </c>
      <c r="C12" s="375" t="s">
        <v>317</v>
      </c>
      <c r="D12" s="374" t="str">
        <f>IF(OR(TBL_ADD_03_Dates[[#This Row],[Y/N]]="No", TBL_ADD_03_Dates[[#This Row],[Type]]="Heading"), "", IF(TBL_ADD_03_Dates[[#This Row],[Date]]&lt;&gt;"", "", "Add"))</f>
        <v/>
      </c>
      <c r="E12" s="80" t="str">
        <f>IF(AND(TBL_ADD_03_Dates[[#This Row],[Y/N]]="Yes", TBL_ADD_03_Dates[[#This Row],[Date]]&lt;&gt;""), IF(OR(TBL_ADD_03_Dates[[#This Row],[Day of the Week]]="Saturday", TBL_ADD_03_Dates[[#This Row],[Day of the Week]]="Sunday"), "Error!", ""), "")</f>
        <v/>
      </c>
      <c r="F12" s="374" t="str">
        <f>IF('Project Info'!$K$14="Open Procedure", "No", "Yes")</f>
        <v>No</v>
      </c>
      <c r="G12" s="98" t="s">
        <v>251</v>
      </c>
      <c r="H12" s="376"/>
      <c r="I12" s="371" t="str">
        <f>IF(TBL_ADD_03_Dates[[#This Row],[Type]]="Heading", "", IF(TBL_ADD_03_Dates[[#This Row],[Activity]]="Time", "Note: use XX:XX format", IF(TBL_ADD_03_Dates[[#This Row],[Date]]="N/A", "N/A", IF(TBL_ADD_03_Dates[[#This Row],[Date]]&lt;&gt;"", TEXT(TBL_ADD_03_Dates[[#This Row],[Date]], "DDDD"), ""))))</f>
        <v/>
      </c>
      <c r="J12" s="385"/>
    </row>
    <row r="13" spans="1:11">
      <c r="A13" s="373" t="s">
        <v>1882</v>
      </c>
      <c r="B13" s="373" t="s">
        <v>545</v>
      </c>
      <c r="C13" s="375" t="s">
        <v>24</v>
      </c>
      <c r="D13" s="80" t="str">
        <f>IF(OR(TBL_ADD_03_Dates[[#This Row],[Y/N]]="No", TBL_ADD_03_Dates[[#This Row],[Type]]="Heading"), "", IF(TBL_ADD_03_Dates[[#This Row],[Date]]&lt;&gt;"", "", "Add"))</f>
        <v/>
      </c>
      <c r="E13" s="80" t="str">
        <f>IF(AND(TBL_ADD_03_Dates[[#This Row],[Y/N]]="Yes", TBL_ADD_03_Dates[[#This Row],[Date]]&lt;&gt;""), IF(OR(TBL_ADD_03_Dates[[#This Row],[Day of the Week]]="Saturday", TBL_ADD_03_Dates[[#This Row],[Day of the Week]]="Sunday"), "Error!", ""), "")</f>
        <v/>
      </c>
      <c r="F13" s="374" t="s">
        <v>467</v>
      </c>
      <c r="G13" s="378" t="str">
        <f>IF(OR('Project Info'!$K$28="Initial", 'Project Info'!$K$28="Final"), "Initial tender dates", "Tender dates")</f>
        <v>Tender dates</v>
      </c>
      <c r="H13" s="372"/>
      <c r="I13" s="371" t="str">
        <f>IF(TBL_ADD_03_Dates[[#This Row],[Type]]="Heading", "", IF(TBL_ADD_03_Dates[[#This Row],[Activity]]="Time", "Note: use XX:XX format", IF(TBL_ADD_03_Dates[[#This Row],[Date]]="N/A", "N/A", IF(TBL_ADD_03_Dates[[#This Row],[Date]]&lt;&gt;"", TEXT(TBL_ADD_03_Dates[[#This Row],[Date]], "DDDD"), ""))))</f>
        <v/>
      </c>
      <c r="J13" s="385"/>
    </row>
    <row r="14" spans="1:11">
      <c r="A14" s="373" t="s">
        <v>24</v>
      </c>
      <c r="B14" s="373" t="s">
        <v>545</v>
      </c>
      <c r="C14" s="375" t="s">
        <v>450</v>
      </c>
      <c r="D14" s="80" t="str">
        <f>IF(OR(TBL_ADD_03_Dates[[#This Row],[Y/N]]="No", TBL_ADD_03_Dates[[#This Row],[Type]]="Heading"), "", IF(TBL_ADD_03_Dates[[#This Row],[Date]]&lt;&gt;"", "", "Add"))</f>
        <v>Add</v>
      </c>
      <c r="E14" s="80" t="str">
        <f>IF(AND(TBL_ADD_03_Dates[[#This Row],[Y/N]]="Yes", TBL_ADD_03_Dates[[#This Row],[Date]]&lt;&gt;""), IF(OR(TBL_ADD_03_Dates[[#This Row],[Day of the Week]]="Saturday", TBL_ADD_03_Dates[[#This Row],[Day of the Week]]="Sunday"), "Error!", ""), "")</f>
        <v/>
      </c>
      <c r="F14" s="374" t="s">
        <v>467</v>
      </c>
      <c r="G14" s="98" t="s">
        <v>11</v>
      </c>
      <c r="H14" s="376"/>
      <c r="I14" s="371" t="str">
        <f>IF(TBL_ADD_03_Dates[[#This Row],[Type]]="Heading", "", IF(TBL_ADD_03_Dates[[#This Row],[Activity]]="Time", "Note: use XX:XX format", IF(TBL_ADD_03_Dates[[#This Row],[Date]]="N/A", "N/A", IF(TBL_ADD_03_Dates[[#This Row],[Date]]&lt;&gt;"", TEXT(TBL_ADD_03_Dates[[#This Row],[Date]], "DDDD"), ""))))</f>
        <v/>
      </c>
      <c r="J14" s="385"/>
    </row>
    <row r="15" spans="1:11">
      <c r="A15" s="373" t="s">
        <v>24</v>
      </c>
      <c r="B15" s="373" t="s">
        <v>545</v>
      </c>
      <c r="C15" s="375" t="s">
        <v>451</v>
      </c>
      <c r="D15" s="80" t="str">
        <f>IF(OR(TBL_ADD_03_Dates[[#This Row],[Y/N]]="No", TBL_ADD_03_Dates[[#This Row],[Type]]="Heading"), "", IF(TBL_ADD_03_Dates[[#This Row],[Date]]&lt;&gt;"", "", "Add"))</f>
        <v>Add</v>
      </c>
      <c r="E15" s="80" t="str">
        <f>IF(AND(TBL_ADD_03_Dates[[#This Row],[Y/N]]="Yes", TBL_ADD_03_Dates[[#This Row],[Date]]&lt;&gt;""), IF(OR(TBL_ADD_03_Dates[[#This Row],[Day of the Week]]="Saturday", TBL_ADD_03_Dates[[#This Row],[Day of the Week]]="Sunday"), "Error!", ""), "")</f>
        <v/>
      </c>
      <c r="F15" s="374" t="s">
        <v>467</v>
      </c>
      <c r="G15" s="98" t="s">
        <v>12</v>
      </c>
      <c r="H15" s="376" t="str">
        <f>IF(AND(H14&lt;&gt;"", H16&lt;&gt;""), H16-9, "")</f>
        <v/>
      </c>
      <c r="I15" s="371" t="str">
        <f>IF(TBL_ADD_03_Dates[[#This Row],[Type]]="Heading", "", IF(TBL_ADD_03_Dates[[#This Row],[Activity]]="Time", "Note: use XX:XX format", IF(TBL_ADD_03_Dates[[#This Row],[Date]]="N/A", "N/A", IF(TBL_ADD_03_Dates[[#This Row],[Date]]&lt;&gt;"", TEXT(TBL_ADD_03_Dates[[#This Row],[Date]], "DDDD"), ""))))</f>
        <v/>
      </c>
      <c r="J15" s="385"/>
    </row>
    <row r="16" spans="1:11">
      <c r="A16" s="373" t="s">
        <v>24</v>
      </c>
      <c r="B16" s="373" t="s">
        <v>545</v>
      </c>
      <c r="C16" s="375" t="s">
        <v>452</v>
      </c>
      <c r="D16" s="80" t="str">
        <f>IF(OR(TBL_ADD_03_Dates[[#This Row],[Y/N]]="No", TBL_ADD_03_Dates[[#This Row],[Type]]="Heading"), "", IF(TBL_ADD_03_Dates[[#This Row],[Date]]&lt;&gt;"", "", "Add"))</f>
        <v>Add</v>
      </c>
      <c r="E16" s="80" t="str">
        <f>IF(AND(TBL_ADD_03_Dates[[#This Row],[Y/N]]="Yes", TBL_ADD_03_Dates[[#This Row],[Date]]&lt;&gt;""), IF(OR(TBL_ADD_03_Dates[[#This Row],[Day of the Week]]="Saturday", TBL_ADD_03_Dates[[#This Row],[Day of the Week]]="Sunday"), "Error!", ""), "")</f>
        <v/>
      </c>
      <c r="F16" s="374" t="s">
        <v>467</v>
      </c>
      <c r="G16" s="98" t="s">
        <v>10</v>
      </c>
      <c r="H16" s="376" t="str">
        <f>IF(H14&lt;&gt;"", H14+30, "")</f>
        <v/>
      </c>
      <c r="I16" s="371" t="str">
        <f>IF(TBL_ADD_03_Dates[[#This Row],[Type]]="Heading", "", IF(TBL_ADD_03_Dates[[#This Row],[Activity]]="Time", "Note: use XX:XX format", IF(TBL_ADD_03_Dates[[#This Row],[Date]]="N/A", "N/A", IF(TBL_ADD_03_Dates[[#This Row],[Date]]&lt;&gt;"", TEXT(TBL_ADD_03_Dates[[#This Row],[Date]], "DDDD"), ""))))</f>
        <v/>
      </c>
      <c r="J16" s="385"/>
    </row>
    <row r="17" spans="1:10">
      <c r="A17" s="373" t="s">
        <v>453</v>
      </c>
      <c r="B17" s="373" t="s">
        <v>545</v>
      </c>
      <c r="C17" s="375" t="s">
        <v>453</v>
      </c>
      <c r="D17" s="80" t="str">
        <f>IF(OR(TBL_ADD_03_Dates[[#This Row],[Y/N]]="No", TBL_ADD_03_Dates[[#This Row],[Type]]="Heading"), "", IF(TBL_ADD_03_Dates[[#This Row],[Date]]&lt;&gt;"", "", "Add"))</f>
        <v>Add</v>
      </c>
      <c r="E17" s="384" t="s">
        <v>24</v>
      </c>
      <c r="F17" s="374" t="s">
        <v>467</v>
      </c>
      <c r="G17" s="98" t="s">
        <v>94</v>
      </c>
      <c r="H17" s="377"/>
      <c r="I17" s="371" t="str">
        <f>IF(TBL_ADD_03_Dates[[#This Row],[Type]]="Heading", "", IF(TBL_ADD_03_Dates[[#This Row],[Activity]]="Time", "Note: use XX:XX format", IF(TBL_ADD_03_Dates[[#This Row],[Date]]="N/A", "N/A", IF(TBL_ADD_03_Dates[[#This Row],[Date]]&lt;&gt;"", TEXT(TBL_ADD_03_Dates[[#This Row],[Date]], "DDDD"), ""))))</f>
        <v>Note: use XX:XX format</v>
      </c>
      <c r="J17" s="385"/>
    </row>
    <row r="18" spans="1:10">
      <c r="A18" s="373" t="s">
        <v>24</v>
      </c>
      <c r="B18" s="373" t="s">
        <v>545</v>
      </c>
      <c r="C18" s="375" t="s">
        <v>454</v>
      </c>
      <c r="D18" s="80" t="str">
        <f>IF(OR(TBL_ADD_03_Dates[[#This Row],[Y/N]]="No", TBL_ADD_03_Dates[[#This Row],[Type]]="Heading"), "", IF(TBL_ADD_03_Dates[[#This Row],[Date]]&lt;&gt;"", "", "Add"))</f>
        <v>Add</v>
      </c>
      <c r="E18" s="80" t="str">
        <f>IF(AND(TBL_ADD_03_Dates[[#This Row],[Y/N]]="Yes", TBL_ADD_03_Dates[[#This Row],[Date]]&lt;&gt;""), IF(OR(TBL_ADD_03_Dates[[#This Row],[Day of the Week]]="Saturday", TBL_ADD_03_Dates[[#This Row],[Day of the Week]]="Sunday"), "Error!", ""), "")</f>
        <v/>
      </c>
      <c r="F18" s="374" t="s">
        <v>467</v>
      </c>
      <c r="G18" s="98" t="s">
        <v>27</v>
      </c>
      <c r="H18" s="376"/>
      <c r="I18" s="371" t="str">
        <f>IF(TBL_ADD_03_Dates[[#This Row],[Type]]="Heading", "", IF(TBL_ADD_03_Dates[[#This Row],[Activity]]="Time", "Note: use XX:XX format", IF(TBL_ADD_03_Dates[[#This Row],[Date]]="N/A", "N/A", IF(TBL_ADD_03_Dates[[#This Row],[Date]]&lt;&gt;"", TEXT(TBL_ADD_03_Dates[[#This Row],[Date]], "DDDD"), ""))))</f>
        <v/>
      </c>
      <c r="J18" s="385"/>
    </row>
    <row r="19" spans="1:10">
      <c r="A19" s="373" t="s">
        <v>24</v>
      </c>
      <c r="B19" s="373" t="s">
        <v>545</v>
      </c>
      <c r="C19" s="379" t="s">
        <v>535</v>
      </c>
      <c r="D19" s="80" t="str">
        <f>IF(OR(TBL_ADD_03_Dates[[#This Row],[Y/N]]="No", TBL_ADD_03_Dates[[#This Row],[Type]]="Heading"), "", IF(TBL_ADD_03_Dates[[#This Row],[Date]]&lt;&gt;"", "", "Add"))</f>
        <v/>
      </c>
      <c r="E19" s="80" t="str">
        <f>IF(AND(TBL_ADD_03_Dates[[#This Row],[Y/N]]="Yes", TBL_ADD_03_Dates[[#This Row],[Date]]&lt;&gt;""), IF(OR(TBL_ADD_03_Dates[[#This Row],[Day of the Week]]="Saturday", TBL_ADD_03_Dates[[#This Row],[Day of the Week]]="Sunday"), "Error!", ""), "")</f>
        <v/>
      </c>
      <c r="F19" s="374" t="str">
        <f>IF(REF_Int_or_SV="Not applicable", "No", "Yes")</f>
        <v>No</v>
      </c>
      <c r="G19" s="373" t="s">
        <v>1911</v>
      </c>
      <c r="H19" s="376"/>
      <c r="I19" s="371" t="str">
        <f>IF(TBL_ADD_03_Dates[[#This Row],[Type]]="Heading", "", IF(TBL_ADD_03_Dates[[#This Row],[Activity]]="Time", "Note: use XX:XX format", IF(TBL_ADD_03_Dates[[#This Row],[Date]]="N/A", "N/A", IF(TBL_ADD_03_Dates[[#This Row],[Date]]&lt;&gt;"", TEXT(TBL_ADD_03_Dates[[#This Row],[Date]], "DDDD"), ""))))</f>
        <v/>
      </c>
      <c r="J19" s="385"/>
    </row>
    <row r="20" spans="1:10">
      <c r="A20" s="373" t="s">
        <v>24</v>
      </c>
      <c r="B20" s="373" t="s">
        <v>545</v>
      </c>
      <c r="C20" s="379" t="s">
        <v>536</v>
      </c>
      <c r="D20" s="80" t="str">
        <f>IF(OR(TBL_ADD_03_Dates[[#This Row],[Y/N]]="No", TBL_ADD_03_Dates[[#This Row],[Type]]="Heading"), "", IF(TBL_ADD_03_Dates[[#This Row],[Date]]&lt;&gt;"", "", "Add"))</f>
        <v/>
      </c>
      <c r="E20" s="80" t="str">
        <f>IF(AND(TBL_ADD_03_Dates[[#This Row],[Y/N]]="Yes", TBL_ADD_03_Dates[[#This Row],[Date]]&lt;&gt;""), IF(OR(TBL_ADD_03_Dates[[#This Row],[Day of the Week]]="Saturday", TBL_ADD_03_Dates[[#This Row],[Day of the Week]]="Sunday"), "Error!", ""), "")</f>
        <v/>
      </c>
      <c r="F20" s="374" t="str">
        <f>IF(REF_Int_or_SV="Not applicable", "No", "Yes")</f>
        <v>No</v>
      </c>
      <c r="G20" s="373" t="s">
        <v>1912</v>
      </c>
      <c r="H20" s="376"/>
      <c r="I20" s="371" t="str">
        <f>IF(TBL_ADD_03_Dates[[#This Row],[Type]]="Heading", "", IF(TBL_ADD_03_Dates[[#This Row],[Activity]]="Time", "Note: use XX:XX format", IF(TBL_ADD_03_Dates[[#This Row],[Date]]="N/A", "N/A", IF(TBL_ADD_03_Dates[[#This Row],[Date]]&lt;&gt;"", TEXT(TBL_ADD_03_Dates[[#This Row],[Date]], "DDDD"), ""))))</f>
        <v/>
      </c>
      <c r="J20" s="385"/>
    </row>
    <row r="21" spans="1:10">
      <c r="A21" s="373" t="s">
        <v>24</v>
      </c>
      <c r="B21" s="373" t="s">
        <v>545</v>
      </c>
      <c r="C21" s="379" t="s">
        <v>537</v>
      </c>
      <c r="D21" s="80" t="str">
        <f>IF(OR(TBL_ADD_03_Dates[[#This Row],[Y/N]]="No", TBL_ADD_03_Dates[[#This Row],[Type]]="Heading"), "", IF(TBL_ADD_03_Dates[[#This Row],[Date]]&lt;&gt;"", "", "Add"))</f>
        <v/>
      </c>
      <c r="E21" s="80" t="str">
        <f>IF(AND(TBL_ADD_03_Dates[[#This Row],[Y/N]]="Yes", TBL_ADD_03_Dates[[#This Row],[Date]]&lt;&gt;""), IF(OR(TBL_ADD_03_Dates[[#This Row],[Day of the Week]]="Saturday", TBL_ADD_03_Dates[[#This Row],[Day of the Week]]="Sunday"), "Error!", ""), "")</f>
        <v/>
      </c>
      <c r="F21" s="374" t="str">
        <f>IF(REF_Int_or_SV="Not applicable", "No", "Yes")</f>
        <v>No</v>
      </c>
      <c r="G21" s="373" t="s">
        <v>1913</v>
      </c>
      <c r="H21" s="376"/>
      <c r="I21" s="371" t="str">
        <f>IF(TBL_ADD_03_Dates[[#This Row],[Type]]="Heading", "", IF(TBL_ADD_03_Dates[[#This Row],[Activity]]="Time", "Note: use XX:XX format", IF(TBL_ADD_03_Dates[[#This Row],[Date]]="N/A", "N/A", IF(TBL_ADD_03_Dates[[#This Row],[Date]]&lt;&gt;"", TEXT(TBL_ADD_03_Dates[[#This Row],[Date]], "DDDD"), ""))))</f>
        <v/>
      </c>
      <c r="J21" s="385"/>
    </row>
    <row r="22" spans="1:10">
      <c r="A22" s="373" t="s">
        <v>24</v>
      </c>
      <c r="B22" s="373" t="s">
        <v>545</v>
      </c>
      <c r="C22" s="375" t="s">
        <v>455</v>
      </c>
      <c r="D22" s="80" t="str">
        <f>IF(OR(TBL_ADD_03_Dates[[#This Row],[Y/N]]="No", TBL_ADD_03_Dates[[#This Row],[Type]]="Heading"), "", IF(TBL_ADD_03_Dates[[#This Row],[Date]]&lt;&gt;"", "", "Add"))</f>
        <v>Add</v>
      </c>
      <c r="E22" s="80" t="str">
        <f>IF(AND(TBL_ADD_03_Dates[[#This Row],[Y/N]]="Yes", TBL_ADD_03_Dates[[#This Row],[Date]]&lt;&gt;""), IF(OR(TBL_ADD_03_Dates[[#This Row],[Day of the Week]]="Saturday", TBL_ADD_03_Dates[[#This Row],[Day of the Week]]="Sunday"), "Error!", ""), "")</f>
        <v/>
      </c>
      <c r="F22" s="374" t="s">
        <v>467</v>
      </c>
      <c r="G22" s="98" t="s">
        <v>28</v>
      </c>
      <c r="H22" s="376"/>
      <c r="I22" s="371" t="str">
        <f>IF(TBL_ADD_03_Dates[[#This Row],[Type]]="Heading", "", IF(TBL_ADD_03_Dates[[#This Row],[Activity]]="Time", "Note: use XX:XX format", IF(TBL_ADD_03_Dates[[#This Row],[Date]]="N/A", "N/A", IF(TBL_ADD_03_Dates[[#This Row],[Date]]&lt;&gt;"", TEXT(TBL_ADD_03_Dates[[#This Row],[Date]], "DDDD"), ""))))</f>
        <v/>
      </c>
      <c r="J22" s="385"/>
    </row>
    <row r="23" spans="1:10">
      <c r="A23" s="373" t="s">
        <v>24</v>
      </c>
      <c r="B23" s="373" t="s">
        <v>545</v>
      </c>
      <c r="C23" s="375" t="s">
        <v>456</v>
      </c>
      <c r="D23" s="80" t="str">
        <f>IF(OR(TBL_ADD_03_Dates[[#This Row],[Y/N]]="No", TBL_ADD_03_Dates[[#This Row],[Type]]="Heading"), "", IF(TBL_ADD_03_Dates[[#This Row],[Date]]&lt;&gt;"", "", "Add"))</f>
        <v>Add</v>
      </c>
      <c r="E23" s="80" t="str">
        <f>IF(AND(TBL_ADD_03_Dates[[#This Row],[Y/N]]="Yes", TBL_ADD_03_Dates[[#This Row],[Date]]&lt;&gt;""), IF(OR(TBL_ADD_03_Dates[[#This Row],[Day of the Week]]="Saturday", TBL_ADD_03_Dates[[#This Row],[Day of the Week]]="Sunday"), "Error!", ""), "")</f>
        <v/>
      </c>
      <c r="F23" s="374" t="s">
        <v>467</v>
      </c>
      <c r="G23" s="98" t="s">
        <v>133</v>
      </c>
      <c r="H23" s="376"/>
      <c r="I23" s="371" t="str">
        <f>IF(TBL_ADD_03_Dates[[#This Row],[Type]]="Heading", "", IF(TBL_ADD_03_Dates[[#This Row],[Activity]]="Time", "Note: use XX:XX format", IF(TBL_ADD_03_Dates[[#This Row],[Date]]="N/A", "N/A", IF(TBL_ADD_03_Dates[[#This Row],[Date]]&lt;&gt;"", TEXT(TBL_ADD_03_Dates[[#This Row],[Date]], "DDDD"), ""))))</f>
        <v/>
      </c>
      <c r="J23" s="385"/>
    </row>
    <row r="24" spans="1:10" hidden="1">
      <c r="A24" s="373" t="s">
        <v>24</v>
      </c>
      <c r="B24" s="373" t="s">
        <v>545</v>
      </c>
      <c r="C24" s="375" t="s">
        <v>317</v>
      </c>
      <c r="D24" s="374" t="str">
        <f>IF(OR(TBL_ADD_03_Dates[[#This Row],[Y/N]]="No", TBL_ADD_03_Dates[[#This Row],[Type]]="Heading"), "", IF(TBL_ADD_03_Dates[[#This Row],[Date]]&lt;&gt;"", "", "Add"))</f>
        <v/>
      </c>
      <c r="E24" s="80" t="str">
        <f>IF(AND(TBL_ADD_03_Dates[[#This Row],[Y/N]]="Yes", TBL_ADD_03_Dates[[#This Row],[Date]]&lt;&gt;""), IF(OR(TBL_ADD_03_Dates[[#This Row],[Day of the Week]]="Saturday", TBL_ADD_03_Dates[[#This Row],[Day of the Week]]="Sunday"), "Error!", ""), "")</f>
        <v/>
      </c>
      <c r="F24" s="380" t="str">
        <f>IF(OR('Project Info'!$K$14="Open Procedure", 'Project Info'!$K$14="Restricted Procedure"), "No", "Yes")</f>
        <v>No</v>
      </c>
      <c r="G24" s="380" t="s">
        <v>48</v>
      </c>
      <c r="H24" s="381"/>
      <c r="I24" s="371" t="str">
        <f>IF(TBL_ADD_03_Dates[[#This Row],[Type]]="Heading", "", IF(TBL_ADD_03_Dates[[#This Row],[Activity]]="Time", "Note: use XX:XX format", IF(TBL_ADD_03_Dates[[#This Row],[Date]]="N/A", "N/A", IF(TBL_ADD_03_Dates[[#This Row],[Date]]&lt;&gt;"", TEXT(TBL_ADD_03_Dates[[#This Row],[Date]], "DDDD"), ""))))</f>
        <v/>
      </c>
      <c r="J24" s="385"/>
    </row>
    <row r="25" spans="1:10" hidden="1">
      <c r="A25" s="373" t="s">
        <v>1882</v>
      </c>
      <c r="B25" s="380" t="s">
        <v>562</v>
      </c>
      <c r="C25" s="375" t="s">
        <v>24</v>
      </c>
      <c r="D25" s="380" t="str">
        <f>IF(OR(TBL_ADD_03_Dates[[#This Row],[Y/N]]="No", TBL_ADD_03_Dates[[#This Row],[Type]]="Heading"), "", IF(TBL_ADD_03_Dates[[#This Row],[Date]]&lt;&gt;"", "", "Add"))</f>
        <v/>
      </c>
      <c r="E25" s="80" t="str">
        <f>IF(AND(TBL_ADD_03_Dates[[#This Row],[Y/N]]="Yes", TBL_ADD_03_Dates[[#This Row],[Date]]&lt;&gt;""), IF(OR(TBL_ADD_03_Dates[[#This Row],[Day of the Week]]="Saturday", TBL_ADD_03_Dates[[#This Row],[Day of the Week]]="Sunday"), "Error!", ""), "")</f>
        <v/>
      </c>
      <c r="F25" s="380" t="str">
        <f>IF(OR('Project Info'!$K$14="Open Procedure", 'Project Info'!$K$14="Restricted Procedure"), "No", "Yes")</f>
        <v>No</v>
      </c>
      <c r="G25" s="82" t="str">
        <f>IF('Project Info'!$K$14="Competitive Dialogue Procedure", "Dialogue dates", "Negotiation dates")</f>
        <v>Negotiation dates</v>
      </c>
      <c r="H25" s="372"/>
      <c r="I25" s="371" t="str">
        <f>IF(TBL_ADD_03_Dates[[#This Row],[Type]]="Heading", "", IF(TBL_ADD_03_Dates[[#This Row],[Activity]]="Time", "Note: use XX:XX format", IF(TBL_ADD_03_Dates[[#This Row],[Date]]="N/A", "N/A", IF(TBL_ADD_03_Dates[[#This Row],[Date]]&lt;&gt;"", TEXT(TBL_ADD_03_Dates[[#This Row],[Date]], "DDDD"), ""))))</f>
        <v/>
      </c>
      <c r="J25" s="385"/>
    </row>
    <row r="26" spans="1:10" hidden="1">
      <c r="A26" s="373" t="s">
        <v>24</v>
      </c>
      <c r="B26" s="380" t="s">
        <v>562</v>
      </c>
      <c r="C26" s="380" t="s">
        <v>458</v>
      </c>
      <c r="D26" s="374" t="str">
        <f>IF(OR(TBL_ADD_03_Dates[[#This Row],[Y/N]]="No", TBL_ADD_03_Dates[[#This Row],[Type]]="Heading"), "", IF(TBL_ADD_03_Dates[[#This Row],[Date]]&lt;&gt;"", "", "Add"))</f>
        <v/>
      </c>
      <c r="E26" s="80" t="str">
        <f>IF(AND(TBL_ADD_03_Dates[[#This Row],[Y/N]]="Yes", TBL_ADD_03_Dates[[#This Row],[Date]]&lt;&gt;""), IF(OR(TBL_ADD_03_Dates[[#This Row],[Day of the Week]]="Saturday", TBL_ADD_03_Dates[[#This Row],[Day of the Week]]="Sunday"), "Error!", ""), "")</f>
        <v/>
      </c>
      <c r="F26" s="380" t="str">
        <f>IF(OR('Project Info'!$K$14="Open Procedure", 'Project Info'!$K$14="Restricted Procedure"), "No", "Yes")</f>
        <v>No</v>
      </c>
      <c r="G26" s="380" t="str">
        <f>IF('Project Info'!$K$14="Competitive Dialogue Procedure", "Dialogue starts", "Negotiation starts")</f>
        <v>Negotiation starts</v>
      </c>
      <c r="H26" s="381"/>
      <c r="I26" s="371" t="str">
        <f>IF(TBL_ADD_03_Dates[[#This Row],[Type]]="Heading", "", IF(TBL_ADD_03_Dates[[#This Row],[Activity]]="Time", "Note: use XX:XX format", IF(TBL_ADD_03_Dates[[#This Row],[Date]]="N/A", "N/A", IF(TBL_ADD_03_Dates[[#This Row],[Date]]&lt;&gt;"", TEXT(TBL_ADD_03_Dates[[#This Row],[Date]], "DDDD"), ""))))</f>
        <v/>
      </c>
      <c r="J26" s="385"/>
    </row>
    <row r="27" spans="1:10" hidden="1">
      <c r="A27" s="373" t="s">
        <v>24</v>
      </c>
      <c r="B27" s="380" t="s">
        <v>562</v>
      </c>
      <c r="C27" s="380" t="s">
        <v>563</v>
      </c>
      <c r="D27" s="374" t="str">
        <f>IF(OR(TBL_ADD_03_Dates[[#This Row],[Y/N]]="No", TBL_ADD_03_Dates[[#This Row],[Type]]="Heading"), "", IF(TBL_ADD_03_Dates[[#This Row],[Date]]&lt;&gt;"", "", "Add"))</f>
        <v/>
      </c>
      <c r="E27" s="80" t="str">
        <f>IF(AND(TBL_ADD_03_Dates[[#This Row],[Y/N]]="Yes", TBL_ADD_03_Dates[[#This Row],[Date]]&lt;&gt;""), IF(OR(TBL_ADD_03_Dates[[#This Row],[Day of the Week]]="Saturday", TBL_ADD_03_Dates[[#This Row],[Day of the Week]]="Sunday"), "Error!", ""), "")</f>
        <v/>
      </c>
      <c r="F27" s="380" t="str">
        <f>IF(OR('Project Info'!$K$14="Open Procedure", 'Project Info'!$K$14="Restricted Procedure"), "No", "Yes")</f>
        <v>No</v>
      </c>
      <c r="G27" s="380" t="s">
        <v>558</v>
      </c>
      <c r="H27" s="381"/>
      <c r="I27" s="371" t="str">
        <f>IF(TBL_ADD_03_Dates[[#This Row],[Type]]="Heading", "", IF(TBL_ADD_03_Dates[[#This Row],[Activity]]="Time", "Note: use XX:XX format", IF(TBL_ADD_03_Dates[[#This Row],[Date]]="N/A", "N/A", IF(TBL_ADD_03_Dates[[#This Row],[Date]]&lt;&gt;"", TEXT(TBL_ADD_03_Dates[[#This Row],[Date]], "DDDD"), ""))))</f>
        <v/>
      </c>
      <c r="J27" s="385"/>
    </row>
    <row r="28" spans="1:10" hidden="1">
      <c r="A28" s="373" t="s">
        <v>24</v>
      </c>
      <c r="B28" s="380" t="s">
        <v>562</v>
      </c>
      <c r="C28" s="380" t="s">
        <v>564</v>
      </c>
      <c r="D28" s="374" t="str">
        <f>IF(OR(TBL_ADD_03_Dates[[#This Row],[Y/N]]="No", TBL_ADD_03_Dates[[#This Row],[Type]]="Heading"), "", IF(TBL_ADD_03_Dates[[#This Row],[Date]]&lt;&gt;"", "", "Add"))</f>
        <v/>
      </c>
      <c r="E28" s="80" t="str">
        <f>IF(AND(TBL_ADD_03_Dates[[#This Row],[Y/N]]="Yes", TBL_ADD_03_Dates[[#This Row],[Date]]&lt;&gt;""), IF(OR(TBL_ADD_03_Dates[[#This Row],[Day of the Week]]="Saturday", TBL_ADD_03_Dates[[#This Row],[Day of the Week]]="Sunday"), "Error!", ""), "")</f>
        <v/>
      </c>
      <c r="F28" s="380" t="str">
        <f>IF(OR('Project Info'!$K$14="Open Procedure", 'Project Info'!$K$14="Restricted Procedure"), "No", "Yes")</f>
        <v>No</v>
      </c>
      <c r="G28" s="380" t="s">
        <v>559</v>
      </c>
      <c r="H28" s="381"/>
      <c r="I28" s="371" t="str">
        <f>IF(TBL_ADD_03_Dates[[#This Row],[Type]]="Heading", "", IF(TBL_ADD_03_Dates[[#This Row],[Activity]]="Time", "Note: use XX:XX format", IF(TBL_ADD_03_Dates[[#This Row],[Date]]="N/A", "N/A", IF(TBL_ADD_03_Dates[[#This Row],[Date]]&lt;&gt;"", TEXT(TBL_ADD_03_Dates[[#This Row],[Date]], "DDDD"), ""))))</f>
        <v/>
      </c>
      <c r="J28" s="385"/>
    </row>
    <row r="29" spans="1:10" hidden="1">
      <c r="A29" s="373" t="s">
        <v>24</v>
      </c>
      <c r="B29" s="380" t="s">
        <v>562</v>
      </c>
      <c r="C29" s="380" t="s">
        <v>565</v>
      </c>
      <c r="D29" s="374" t="str">
        <f>IF(OR(TBL_ADD_03_Dates[[#This Row],[Y/N]]="No", TBL_ADD_03_Dates[[#This Row],[Type]]="Heading"), "", IF(TBL_ADD_03_Dates[[#This Row],[Date]]&lt;&gt;"", "", "Add"))</f>
        <v/>
      </c>
      <c r="E29" s="80" t="str">
        <f>IF(AND(TBL_ADD_03_Dates[[#This Row],[Y/N]]="Yes", TBL_ADD_03_Dates[[#This Row],[Date]]&lt;&gt;""), IF(OR(TBL_ADD_03_Dates[[#This Row],[Day of the Week]]="Saturday", TBL_ADD_03_Dates[[#This Row],[Day of the Week]]="Sunday"), "Error!", ""), "")</f>
        <v/>
      </c>
      <c r="F29" s="380" t="str">
        <f>IF(OR('Project Info'!$K$14="Open Procedure", 'Project Info'!$K$14="Restricted Procedure"), "No", "Yes")</f>
        <v>No</v>
      </c>
      <c r="G29" s="380" t="s">
        <v>560</v>
      </c>
      <c r="H29" s="381"/>
      <c r="I29" s="371" t="str">
        <f>IF(TBL_ADD_03_Dates[[#This Row],[Type]]="Heading", "", IF(TBL_ADD_03_Dates[[#This Row],[Activity]]="Time", "Note: use XX:XX format", IF(TBL_ADD_03_Dates[[#This Row],[Date]]="N/A", "N/A", IF(TBL_ADD_03_Dates[[#This Row],[Date]]&lt;&gt;"", TEXT(TBL_ADD_03_Dates[[#This Row],[Date]], "DDDD"), ""))))</f>
        <v/>
      </c>
      <c r="J29" s="385"/>
    </row>
    <row r="30" spans="1:10" hidden="1">
      <c r="A30" s="373" t="s">
        <v>24</v>
      </c>
      <c r="B30" s="380" t="s">
        <v>562</v>
      </c>
      <c r="C30" s="380" t="s">
        <v>566</v>
      </c>
      <c r="D30" s="374" t="str">
        <f>IF(OR(TBL_ADD_03_Dates[[#This Row],[Y/N]]="No", TBL_ADD_03_Dates[[#This Row],[Type]]="Heading"), "", IF(TBL_ADD_03_Dates[[#This Row],[Date]]&lt;&gt;"", "", "Add"))</f>
        <v/>
      </c>
      <c r="E30" s="80" t="str">
        <f>IF(AND(TBL_ADD_03_Dates[[#This Row],[Y/N]]="Yes", TBL_ADD_03_Dates[[#This Row],[Date]]&lt;&gt;""), IF(OR(TBL_ADD_03_Dates[[#This Row],[Day of the Week]]="Saturday", TBL_ADD_03_Dates[[#This Row],[Day of the Week]]="Sunday"), "Error!", ""), "")</f>
        <v/>
      </c>
      <c r="F30" s="380" t="str">
        <f>IF(OR('Project Info'!$K$14="Open Procedure", 'Project Info'!$K$14="Restricted Procedure"), "No", "Yes")</f>
        <v>No</v>
      </c>
      <c r="G30" s="380" t="s">
        <v>561</v>
      </c>
      <c r="H30" s="381"/>
      <c r="I30" s="371" t="str">
        <f>IF(TBL_ADD_03_Dates[[#This Row],[Type]]="Heading", "", IF(TBL_ADD_03_Dates[[#This Row],[Activity]]="Time", "Note: use XX:XX format", IF(TBL_ADD_03_Dates[[#This Row],[Date]]="N/A", "N/A", IF(TBL_ADD_03_Dates[[#This Row],[Date]]&lt;&gt;"", TEXT(TBL_ADD_03_Dates[[#This Row],[Date]], "DDDD"), ""))))</f>
        <v/>
      </c>
      <c r="J30" s="385"/>
    </row>
    <row r="31" spans="1:10" hidden="1">
      <c r="A31" s="373" t="s">
        <v>24</v>
      </c>
      <c r="B31" s="380" t="s">
        <v>562</v>
      </c>
      <c r="C31" s="380" t="s">
        <v>459</v>
      </c>
      <c r="D31" s="374" t="str">
        <f>IF(OR(TBL_ADD_03_Dates[[#This Row],[Y/N]]="No", TBL_ADD_03_Dates[[#This Row],[Type]]="Heading"), "", IF(TBL_ADD_03_Dates[[#This Row],[Date]]&lt;&gt;"", "", "Add"))</f>
        <v/>
      </c>
      <c r="E31" s="80" t="str">
        <f>IF(AND(TBL_ADD_03_Dates[[#This Row],[Y/N]]="Yes", TBL_ADD_03_Dates[[#This Row],[Date]]&lt;&gt;""), IF(OR(TBL_ADD_03_Dates[[#This Row],[Day of the Week]]="Saturday", TBL_ADD_03_Dates[[#This Row],[Day of the Week]]="Sunday"), "Error!", ""), "")</f>
        <v/>
      </c>
      <c r="F31" s="380" t="str">
        <f>IF(OR('Project Info'!$K$14="Open Procedure", 'Project Info'!$K$14="Restricted Procedure"), "No", "Yes")</f>
        <v>No</v>
      </c>
      <c r="G31" s="380" t="str">
        <f>IF('Project Info'!$K$14="Competitive Dialogue Procedure", "Dialogue ends", "Negotiation ends")</f>
        <v>Negotiation ends</v>
      </c>
      <c r="H31" s="381"/>
      <c r="I31" s="371" t="str">
        <f>IF(TBL_ADD_03_Dates[[#This Row],[Type]]="Heading", "", IF(TBL_ADD_03_Dates[[#This Row],[Activity]]="Time", "Note: use XX:XX format", IF(TBL_ADD_03_Dates[[#This Row],[Date]]="N/A", "N/A", IF(TBL_ADD_03_Dates[[#This Row],[Date]]&lt;&gt;"", TEXT(TBL_ADD_03_Dates[[#This Row],[Date]], "DDDD"), ""))))</f>
        <v/>
      </c>
      <c r="J31" s="385"/>
    </row>
    <row r="32" spans="1:10" hidden="1">
      <c r="A32" s="373" t="s">
        <v>1882</v>
      </c>
      <c r="B32" s="375" t="s">
        <v>24</v>
      </c>
      <c r="C32" s="375" t="s">
        <v>24</v>
      </c>
      <c r="D32" s="380" t="str">
        <f>IF(OR(TBL_ADD_03_Dates[[#This Row],[Y/N]]="No", TBL_ADD_03_Dates[[#This Row],[Type]]="Heading"), "", IF(TBL_ADD_03_Dates[[#This Row],[Date]]&lt;&gt;"", "", "Add"))</f>
        <v/>
      </c>
      <c r="E32" s="80" t="str">
        <f>IF(AND(TBL_ADD_03_Dates[[#This Row],[Y/N]]="Yes", TBL_ADD_03_Dates[[#This Row],[Date]]&lt;&gt;""), IF(OR(TBL_ADD_03_Dates[[#This Row],[Day of the Week]]="Saturday", TBL_ADD_03_Dates[[#This Row],[Day of the Week]]="Sunday"), "Error!", ""), "")</f>
        <v/>
      </c>
      <c r="F32" s="380" t="str">
        <f>IF(OR('Project Info'!$K$14="Open Procedure", 'Project Info'!$K$14="Restricted Procedure"), "No", "Yes")</f>
        <v>No</v>
      </c>
      <c r="G32" s="382" t="s">
        <v>557</v>
      </c>
      <c r="H32" s="372"/>
      <c r="I32" s="371" t="str">
        <f>IF(TBL_ADD_03_Dates[[#This Row],[Type]]="Heading", "", IF(TBL_ADD_03_Dates[[#This Row],[Activity]]="Time", "Note: use XX:XX format", IF(TBL_ADD_03_Dates[[#This Row],[Date]]="N/A", "N/A", IF(TBL_ADD_03_Dates[[#This Row],[Date]]&lt;&gt;"", TEXT(TBL_ADD_03_Dates[[#This Row],[Date]], "DDDD"), ""))))</f>
        <v/>
      </c>
      <c r="J32" s="385"/>
    </row>
    <row r="33" spans="1:10" hidden="1">
      <c r="A33" s="373" t="s">
        <v>24</v>
      </c>
      <c r="B33" s="380" t="s">
        <v>460</v>
      </c>
      <c r="C33" s="375" t="s">
        <v>450</v>
      </c>
      <c r="D33" s="374" t="str">
        <f>IF(OR(TBL_ADD_03_Dates[[#This Row],[Y/N]]="No", TBL_ADD_03_Dates[[#This Row],[Type]]="Heading"), "", IF(TBL_ADD_03_Dates[[#This Row],[Date]]&lt;&gt;"", "", "Add"))</f>
        <v/>
      </c>
      <c r="E33" s="80" t="str">
        <f>IF(AND(TBL_ADD_03_Dates[[#This Row],[Y/N]]="Yes", TBL_ADD_03_Dates[[#This Row],[Date]]&lt;&gt;""), IF(OR(TBL_ADD_03_Dates[[#This Row],[Day of the Week]]="Saturday", TBL_ADD_03_Dates[[#This Row],[Day of the Week]]="Sunday"), "Error!", ""), "")</f>
        <v/>
      </c>
      <c r="F33" s="380" t="str">
        <f>IF(OR('Project Info'!$K$14="Open Procedure", 'Project Info'!$K$14="Restricted Procedure"), "No", "Yes")</f>
        <v>No</v>
      </c>
      <c r="G33" s="380" t="s">
        <v>550</v>
      </c>
      <c r="H33" s="376"/>
      <c r="I33" s="371" t="str">
        <f>IF(TBL_ADD_03_Dates[[#This Row],[Type]]="Heading", "", IF(TBL_ADD_03_Dates[[#This Row],[Activity]]="Time", "Note: use XX:XX format", IF(TBL_ADD_03_Dates[[#This Row],[Date]]="N/A", "N/A", IF(TBL_ADD_03_Dates[[#This Row],[Date]]&lt;&gt;"", TEXT(TBL_ADD_03_Dates[[#This Row],[Date]], "DDDD"), ""))))</f>
        <v/>
      </c>
      <c r="J33" s="385"/>
    </row>
    <row r="34" spans="1:10" hidden="1">
      <c r="A34" s="373" t="s">
        <v>24</v>
      </c>
      <c r="B34" s="380" t="s">
        <v>460</v>
      </c>
      <c r="C34" s="375" t="s">
        <v>451</v>
      </c>
      <c r="D34" s="374" t="str">
        <f>IF(OR(TBL_ADD_03_Dates[[#This Row],[Y/N]]="No", TBL_ADD_03_Dates[[#This Row],[Type]]="Heading"), "", IF(TBL_ADD_03_Dates[[#This Row],[Date]]&lt;&gt;"", "", "Add"))</f>
        <v/>
      </c>
      <c r="E34" s="80" t="str">
        <f>IF(AND(TBL_ADD_03_Dates[[#This Row],[Y/N]]="Yes", TBL_ADD_03_Dates[[#This Row],[Date]]&lt;&gt;""), IF(OR(TBL_ADD_03_Dates[[#This Row],[Day of the Week]]="Saturday", TBL_ADD_03_Dates[[#This Row],[Day of the Week]]="Sunday"), "Error!", ""), "")</f>
        <v/>
      </c>
      <c r="F34" s="380" t="str">
        <f>IF(OR('Project Info'!$K$14="Open Procedure", 'Project Info'!$K$14="Restricted Procedure"), "No", "Yes")</f>
        <v>No</v>
      </c>
      <c r="G34" s="380" t="s">
        <v>551</v>
      </c>
      <c r="H34" s="376" t="str">
        <f>IF(AND(H33&lt;&gt;"", H35&lt;&gt;""), H35-9, "")</f>
        <v/>
      </c>
      <c r="I34" s="371" t="str">
        <f>IF(TBL_ADD_03_Dates[[#This Row],[Type]]="Heading", "", IF(TBL_ADD_03_Dates[[#This Row],[Activity]]="Time", "Note: use XX:XX format", IF(TBL_ADD_03_Dates[[#This Row],[Date]]="N/A", "N/A", IF(TBL_ADD_03_Dates[[#This Row],[Date]]&lt;&gt;"", TEXT(TBL_ADD_03_Dates[[#This Row],[Date]], "DDDD"), ""))))</f>
        <v/>
      </c>
      <c r="J34" s="385"/>
    </row>
    <row r="35" spans="1:10" hidden="1">
      <c r="A35" s="373" t="s">
        <v>24</v>
      </c>
      <c r="B35" s="380" t="s">
        <v>460</v>
      </c>
      <c r="C35" s="375" t="s">
        <v>452</v>
      </c>
      <c r="D35" s="374" t="str">
        <f>IF(OR(TBL_ADD_03_Dates[[#This Row],[Y/N]]="No", TBL_ADD_03_Dates[[#This Row],[Type]]="Heading"), "", IF(TBL_ADD_03_Dates[[#This Row],[Date]]&lt;&gt;"", "", "Add"))</f>
        <v/>
      </c>
      <c r="E35" s="80" t="str">
        <f>IF(AND(TBL_ADD_03_Dates[[#This Row],[Y/N]]="Yes", TBL_ADD_03_Dates[[#This Row],[Date]]&lt;&gt;""), IF(OR(TBL_ADD_03_Dates[[#This Row],[Day of the Week]]="Saturday", TBL_ADD_03_Dates[[#This Row],[Day of the Week]]="Sunday"), "Error!", ""), "")</f>
        <v/>
      </c>
      <c r="F35" s="380" t="str">
        <f>IF(OR('Project Info'!$K$14="Open Procedure", 'Project Info'!$K$14="Restricted Procedure"), "No", "Yes")</f>
        <v>No</v>
      </c>
      <c r="G35" s="380" t="s">
        <v>552</v>
      </c>
      <c r="H35" s="376" t="str">
        <f>IF(H33&lt;&gt;"", H33+20, "")</f>
        <v/>
      </c>
      <c r="I35" s="371" t="str">
        <f>IF(TBL_ADD_03_Dates[[#This Row],[Type]]="Heading", "", IF(TBL_ADD_03_Dates[[#This Row],[Activity]]="Time", "Note: use XX:XX format", IF(TBL_ADD_03_Dates[[#This Row],[Date]]="N/A", "N/A", IF(TBL_ADD_03_Dates[[#This Row],[Date]]&lt;&gt;"", TEXT(TBL_ADD_03_Dates[[#This Row],[Date]], "DDDD"), ""))))</f>
        <v/>
      </c>
      <c r="J35" s="385"/>
    </row>
    <row r="36" spans="1:10" hidden="1">
      <c r="A36" s="373" t="s">
        <v>453</v>
      </c>
      <c r="B36" s="380" t="s">
        <v>460</v>
      </c>
      <c r="C36" s="375" t="s">
        <v>453</v>
      </c>
      <c r="D36" s="374" t="str">
        <f>IF(OR(TBL_ADD_03_Dates[[#This Row],[Y/N]]="No", TBL_ADD_03_Dates[[#This Row],[Type]]="Heading"), "", IF(TBL_ADD_03_Dates[[#This Row],[Date]]&lt;&gt;"", "", "Add"))</f>
        <v/>
      </c>
      <c r="E36" s="384" t="s">
        <v>24</v>
      </c>
      <c r="F36" s="380" t="str">
        <f>IF(OR('Project Info'!$K$14="Open Procedure", 'Project Info'!$K$14="Restricted Procedure"), "No", "Yes")</f>
        <v>No</v>
      </c>
      <c r="G36" s="380" t="s">
        <v>553</v>
      </c>
      <c r="H36" s="377"/>
      <c r="I36" s="371" t="str">
        <f>IF(TBL_ADD_03_Dates[[#This Row],[Type]]="Heading", "", IF(TBL_ADD_03_Dates[[#This Row],[Activity]]="Time", "Note: use XX:XX format", IF(TBL_ADD_03_Dates[[#This Row],[Date]]="N/A", "N/A", IF(TBL_ADD_03_Dates[[#This Row],[Date]]&lt;&gt;"", TEXT(TBL_ADD_03_Dates[[#This Row],[Date]], "DDDD"), ""))))</f>
        <v>Note: use XX:XX format</v>
      </c>
      <c r="J36" s="385"/>
    </row>
    <row r="37" spans="1:10" hidden="1">
      <c r="A37" s="373" t="s">
        <v>24</v>
      </c>
      <c r="B37" s="380" t="s">
        <v>460</v>
      </c>
      <c r="C37" s="375" t="s">
        <v>454</v>
      </c>
      <c r="D37" s="374" t="str">
        <f>IF(OR(TBL_ADD_03_Dates[[#This Row],[Y/N]]="No", TBL_ADD_03_Dates[[#This Row],[Type]]="Heading"), "", IF(TBL_ADD_03_Dates[[#This Row],[Date]]&lt;&gt;"", "", "Add"))</f>
        <v/>
      </c>
      <c r="E37" s="80" t="str">
        <f>IF(AND(TBL_ADD_03_Dates[[#This Row],[Y/N]]="Yes", TBL_ADD_03_Dates[[#This Row],[Date]]&lt;&gt;""), IF(OR(TBL_ADD_03_Dates[[#This Row],[Day of the Week]]="Saturday", TBL_ADD_03_Dates[[#This Row],[Day of the Week]]="Sunday"), "Error!", ""), "")</f>
        <v/>
      </c>
      <c r="F37" s="380" t="str">
        <f>IF(OR('Project Info'!$K$14="Open Procedure", 'Project Info'!$K$14="Restricted Procedure"), "No", "Yes")</f>
        <v>No</v>
      </c>
      <c r="G37" s="380" t="s">
        <v>554</v>
      </c>
      <c r="H37" s="376"/>
      <c r="I37" s="371" t="str">
        <f>IF(TBL_ADD_03_Dates[[#This Row],[Type]]="Heading", "", IF(TBL_ADD_03_Dates[[#This Row],[Activity]]="Time", "Note: use XX:XX format", IF(TBL_ADD_03_Dates[[#This Row],[Date]]="N/A", "N/A", IF(TBL_ADD_03_Dates[[#This Row],[Date]]&lt;&gt;"", TEXT(TBL_ADD_03_Dates[[#This Row],[Date]], "DDDD"), ""))))</f>
        <v/>
      </c>
      <c r="J37" s="385"/>
    </row>
    <row r="38" spans="1:10" hidden="1">
      <c r="A38" s="373" t="s">
        <v>24</v>
      </c>
      <c r="B38" s="380" t="s">
        <v>460</v>
      </c>
      <c r="C38" s="379" t="s">
        <v>535</v>
      </c>
      <c r="D38" s="80" t="str">
        <f>IF(OR(TBL_ADD_03_Dates[[#This Row],[Y/N]]="No", TBL_ADD_03_Dates[[#This Row],[Type]]="Heading"), "", IF(TBL_ADD_03_Dates[[#This Row],[Date]]&lt;&gt;"", "", "Add"))</f>
        <v/>
      </c>
      <c r="E38" s="80" t="str">
        <f>IF(AND(TBL_ADD_03_Dates[[#This Row],[Y/N]]="Yes", TBL_ADD_03_Dates[[#This Row],[Date]]&lt;&gt;""), IF(OR(TBL_ADD_03_Dates[[#This Row],[Day of the Week]]="Saturday", TBL_ADD_03_Dates[[#This Row],[Day of the Week]]="Sunday"), "Error!", ""), "")</f>
        <v/>
      </c>
      <c r="F38" s="380" t="str">
        <f>IF(OR('Project Info'!$K$14="Open Procedure", 'Project Info'!$K$14="Restricted Procedure", REF_Int_or_SV="Not applicable"), "No", "Yes")</f>
        <v>No</v>
      </c>
      <c r="G38" s="373" t="s">
        <v>1911</v>
      </c>
      <c r="H38" s="376"/>
      <c r="I38" s="371" t="str">
        <f>IF(TBL_ADD_03_Dates[[#This Row],[Type]]="Heading", "", IF(TBL_ADD_03_Dates[[#This Row],[Activity]]="Time", "Note: use XX:XX format", IF(TBL_ADD_03_Dates[[#This Row],[Date]]="N/A", "N/A", IF(TBL_ADD_03_Dates[[#This Row],[Date]]&lt;&gt;"", TEXT(TBL_ADD_03_Dates[[#This Row],[Date]], "DDDD"), ""))))</f>
        <v/>
      </c>
      <c r="J38" s="385"/>
    </row>
    <row r="39" spans="1:10" hidden="1">
      <c r="A39" s="373" t="s">
        <v>24</v>
      </c>
      <c r="B39" s="380" t="s">
        <v>460</v>
      </c>
      <c r="C39" s="379" t="s">
        <v>536</v>
      </c>
      <c r="D39" s="80" t="str">
        <f>IF(OR(TBL_ADD_03_Dates[[#This Row],[Y/N]]="No", TBL_ADD_03_Dates[[#This Row],[Type]]="Heading"), "", IF(TBL_ADD_03_Dates[[#This Row],[Date]]&lt;&gt;"", "", "Add"))</f>
        <v/>
      </c>
      <c r="E39" s="80" t="str">
        <f>IF(AND(TBL_ADD_03_Dates[[#This Row],[Y/N]]="Yes", TBL_ADD_03_Dates[[#This Row],[Date]]&lt;&gt;""), IF(OR(TBL_ADD_03_Dates[[#This Row],[Day of the Week]]="Saturday", TBL_ADD_03_Dates[[#This Row],[Day of the Week]]="Sunday"), "Error!", ""), "")</f>
        <v/>
      </c>
      <c r="F39" s="380" t="str">
        <f>IF(OR('Project Info'!$K$14="Open Procedure", 'Project Info'!$K$14="Restricted Procedure", REF_Int_or_SV="Not applicable"), "No", "Yes")</f>
        <v>No</v>
      </c>
      <c r="G39" s="373" t="s">
        <v>1912</v>
      </c>
      <c r="H39" s="376"/>
      <c r="I39" s="371" t="str">
        <f>IF(TBL_ADD_03_Dates[[#This Row],[Type]]="Heading", "", IF(TBL_ADD_03_Dates[[#This Row],[Activity]]="Time", "Note: use XX:XX format", IF(TBL_ADD_03_Dates[[#This Row],[Date]]="N/A", "N/A", IF(TBL_ADD_03_Dates[[#This Row],[Date]]&lt;&gt;"", TEXT(TBL_ADD_03_Dates[[#This Row],[Date]], "DDDD"), ""))))</f>
        <v/>
      </c>
      <c r="J39" s="385"/>
    </row>
    <row r="40" spans="1:10" hidden="1">
      <c r="A40" s="373" t="s">
        <v>24</v>
      </c>
      <c r="B40" s="380" t="s">
        <v>460</v>
      </c>
      <c r="C40" s="379" t="s">
        <v>537</v>
      </c>
      <c r="D40" s="80" t="str">
        <f>IF(OR(TBL_ADD_03_Dates[[#This Row],[Y/N]]="No", TBL_ADD_03_Dates[[#This Row],[Type]]="Heading"), "", IF(TBL_ADD_03_Dates[[#This Row],[Date]]&lt;&gt;"", "", "Add"))</f>
        <v/>
      </c>
      <c r="E40" s="80" t="str">
        <f>IF(AND(TBL_ADD_03_Dates[[#This Row],[Y/N]]="Yes", TBL_ADD_03_Dates[[#This Row],[Date]]&lt;&gt;""), IF(OR(TBL_ADD_03_Dates[[#This Row],[Day of the Week]]="Saturday", TBL_ADD_03_Dates[[#This Row],[Day of the Week]]="Sunday"), "Error!", ""), "")</f>
        <v/>
      </c>
      <c r="F40" s="380" t="str">
        <f>IF(OR('Project Info'!$K$14="Open Procedure", 'Project Info'!$K$14="Restricted Procedure", REF_Int_or_SV="Not applicable"), "No", "Yes")</f>
        <v>No</v>
      </c>
      <c r="G40" s="373" t="s">
        <v>1913</v>
      </c>
      <c r="H40" s="376"/>
      <c r="I40" s="371" t="str">
        <f>IF(TBL_ADD_03_Dates[[#This Row],[Type]]="Heading", "", IF(TBL_ADD_03_Dates[[#This Row],[Activity]]="Time", "Note: use XX:XX format", IF(TBL_ADD_03_Dates[[#This Row],[Date]]="N/A", "N/A", IF(TBL_ADD_03_Dates[[#This Row],[Date]]&lt;&gt;"", TEXT(TBL_ADD_03_Dates[[#This Row],[Date]], "DDDD"), ""))))</f>
        <v/>
      </c>
      <c r="J40" s="385"/>
    </row>
    <row r="41" spans="1:10" hidden="1">
      <c r="A41" s="373" t="s">
        <v>24</v>
      </c>
      <c r="B41" s="380" t="s">
        <v>460</v>
      </c>
      <c r="C41" s="375" t="s">
        <v>455</v>
      </c>
      <c r="D41" s="380" t="str">
        <f>IF(OR(TBL_ADD_03_Dates[[#This Row],[Y/N]]="No", TBL_ADD_03_Dates[[#This Row],[Type]]="Heading"), "", IF(TBL_ADD_03_Dates[[#This Row],[Date]]&lt;&gt;"", "", "Add"))</f>
        <v/>
      </c>
      <c r="E41" s="80" t="str">
        <f>IF(AND(TBL_ADD_03_Dates[[#This Row],[Y/N]]="Yes", TBL_ADD_03_Dates[[#This Row],[Date]]&lt;&gt;""), IF(OR(TBL_ADD_03_Dates[[#This Row],[Day of the Week]]="Saturday", TBL_ADD_03_Dates[[#This Row],[Day of the Week]]="Sunday"), "Error!", ""), "")</f>
        <v/>
      </c>
      <c r="F41" s="380" t="str">
        <f>IF(OR('Project Info'!$K$14="Open Procedure", 'Project Info'!$K$14="Restricted Procedure"), "No", "Yes")</f>
        <v>No</v>
      </c>
      <c r="G41" s="380" t="s">
        <v>555</v>
      </c>
      <c r="H41" s="376"/>
      <c r="I41" s="371" t="str">
        <f>IF(TBL_ADD_03_Dates[[#This Row],[Type]]="Heading", "", IF(TBL_ADD_03_Dates[[#This Row],[Activity]]="Time", "Note: use XX:XX format", IF(TBL_ADD_03_Dates[[#This Row],[Date]]="N/A", "N/A", IF(TBL_ADD_03_Dates[[#This Row],[Date]]&lt;&gt;"", TEXT(TBL_ADD_03_Dates[[#This Row],[Date]], "DDDD"), ""))))</f>
        <v/>
      </c>
      <c r="J41" s="385"/>
    </row>
    <row r="42" spans="1:10" hidden="1">
      <c r="A42" s="373" t="s">
        <v>24</v>
      </c>
      <c r="B42" s="380" t="s">
        <v>460</v>
      </c>
      <c r="C42" s="375" t="s">
        <v>456</v>
      </c>
      <c r="D42" s="380" t="str">
        <f>IF(OR(TBL_ADD_03_Dates[[#This Row],[Y/N]]="No", TBL_ADD_03_Dates[[#This Row],[Type]]="Heading"), "", IF(TBL_ADD_03_Dates[[#This Row],[Date]]&lt;&gt;"", "", "Add"))</f>
        <v/>
      </c>
      <c r="E42" s="80" t="str">
        <f>IF(AND(TBL_ADD_03_Dates[[#This Row],[Y/N]]="Yes", TBL_ADD_03_Dates[[#This Row],[Date]]&lt;&gt;""), IF(OR(TBL_ADD_03_Dates[[#This Row],[Day of the Week]]="Saturday", TBL_ADD_03_Dates[[#This Row],[Day of the Week]]="Sunday"), "Error!", ""), "")</f>
        <v/>
      </c>
      <c r="F42" s="380" t="str">
        <f>IF(OR('Project Info'!$K$14="Open Procedure", 'Project Info'!$K$14="Restricted Procedure"), "No", "Yes")</f>
        <v>No</v>
      </c>
      <c r="G42" s="380" t="s">
        <v>556</v>
      </c>
      <c r="H42" s="376"/>
      <c r="I42" s="371" t="str">
        <f>IF(TBL_ADD_03_Dates[[#This Row],[Type]]="Heading", "", IF(TBL_ADD_03_Dates[[#This Row],[Activity]]="Time", "Note: use XX:XX format", IF(TBL_ADD_03_Dates[[#This Row],[Date]]="N/A", "N/A", IF(TBL_ADD_03_Dates[[#This Row],[Date]]&lt;&gt;"", TEXT(TBL_ADD_03_Dates[[#This Row],[Date]], "DDDD"), ""))))</f>
        <v/>
      </c>
      <c r="J42" s="385"/>
    </row>
    <row r="43" spans="1:10">
      <c r="A43" s="373" t="s">
        <v>1882</v>
      </c>
      <c r="B43" s="373" t="s">
        <v>457</v>
      </c>
      <c r="C43" s="375" t="s">
        <v>24</v>
      </c>
      <c r="D43" s="80" t="str">
        <f>IF(OR(TBL_ADD_03_Dates[[#This Row],[Y/N]]="No", TBL_ADD_03_Dates[[#This Row],[Type]]="Heading"), "", IF(TBL_ADD_03_Dates[[#This Row],[Date]]&lt;&gt;"", "", "Add"))</f>
        <v/>
      </c>
      <c r="E43" s="80" t="str">
        <f>IF(AND(TBL_ADD_03_Dates[[#This Row],[Y/N]]="Yes", TBL_ADD_03_Dates[[#This Row],[Date]]&lt;&gt;""), IF(OR(TBL_ADD_03_Dates[[#This Row],[Day of the Week]]="Saturday", TBL_ADD_03_Dates[[#This Row],[Day of the Week]]="Sunday"), "Error!", ""), "")</f>
        <v/>
      </c>
      <c r="F43" s="380" t="s">
        <v>467</v>
      </c>
      <c r="G43" s="82" t="s">
        <v>317</v>
      </c>
      <c r="H43" s="372"/>
      <c r="I43" s="371" t="str">
        <f>IF(TBL_ADD_03_Dates[[#This Row],[Type]]="Heading", "", IF(TBL_ADD_03_Dates[[#This Row],[Activity]]="Time", "Note: use XX:XX format", IF(TBL_ADD_03_Dates[[#This Row],[Date]]="N/A", "N/A", IF(TBL_ADD_03_Dates[[#This Row],[Date]]&lt;&gt;"", TEXT(TBL_ADD_03_Dates[[#This Row],[Date]], "DDDD"), ""))))</f>
        <v/>
      </c>
      <c r="J43" s="385"/>
    </row>
    <row r="44" spans="1:10">
      <c r="A44" s="373" t="s">
        <v>24</v>
      </c>
      <c r="B44" s="375" t="s">
        <v>457</v>
      </c>
      <c r="C44" s="375" t="s">
        <v>458</v>
      </c>
      <c r="D44" s="380" t="str">
        <f>IF(OR(TBL_ADD_03_Dates[[#This Row],[Y/N]]="No", TBL_ADD_03_Dates[[#This Row],[Type]]="Heading"), "", IF(TBL_ADD_03_Dates[[#This Row],[Date]]&lt;&gt;"", "", "Add"))</f>
        <v>Add</v>
      </c>
      <c r="E44" s="80" t="str">
        <f>IF(AND(TBL_ADD_03_Dates[[#This Row],[Y/N]]="Yes", TBL_ADD_03_Dates[[#This Row],[Date]]&lt;&gt;""), IF(OR(TBL_ADD_03_Dates[[#This Row],[Day of the Week]]="Saturday", TBL_ADD_03_Dates[[#This Row],[Day of the Week]]="Sunday"), "Error!", ""), "")</f>
        <v/>
      </c>
      <c r="F44" s="374" t="str">
        <f>IF(REF_Leaseholders="No", "No", "Yes")</f>
        <v>Yes</v>
      </c>
      <c r="G44" s="98" t="s">
        <v>128</v>
      </c>
      <c r="H44" s="376"/>
      <c r="I44" s="371" t="str">
        <f>IF(TBL_ADD_03_Dates[[#This Row],[Type]]="Heading", "", IF(TBL_ADD_03_Dates[[#This Row],[Activity]]="Time", "Note: use XX:XX format", IF(TBL_ADD_03_Dates[[#This Row],[Date]]="N/A", "N/A", IF(TBL_ADD_03_Dates[[#This Row],[Date]]&lt;&gt;"", TEXT(TBL_ADD_03_Dates[[#This Row],[Date]], "DDDD"), ""))))</f>
        <v/>
      </c>
      <c r="J44" s="385"/>
    </row>
    <row r="45" spans="1:10">
      <c r="A45" s="373" t="s">
        <v>24</v>
      </c>
      <c r="B45" s="375" t="s">
        <v>457</v>
      </c>
      <c r="C45" s="375" t="s">
        <v>459</v>
      </c>
      <c r="D45" s="380" t="str">
        <f>IF(OR(TBL_ADD_03_Dates[[#This Row],[Y/N]]="No", TBL_ADD_03_Dates[[#This Row],[Type]]="Heading"), "", IF(TBL_ADD_03_Dates[[#This Row],[Date]]&lt;&gt;"", "", "Add"))</f>
        <v>Add</v>
      </c>
      <c r="E45" s="80" t="str">
        <f>IF(AND(TBL_ADD_03_Dates[[#This Row],[Y/N]]="Yes", TBL_ADD_03_Dates[[#This Row],[Date]]&lt;&gt;""), IF(OR(TBL_ADD_03_Dates[[#This Row],[Day of the Week]]="Saturday", TBL_ADD_03_Dates[[#This Row],[Day of the Week]]="Sunday"), "Error!", ""), "")</f>
        <v/>
      </c>
      <c r="F45" s="374" t="str">
        <f>IF(REF_Leaseholders="No", "No", "Yes")</f>
        <v>Yes</v>
      </c>
      <c r="G45" s="98" t="s">
        <v>129</v>
      </c>
      <c r="H45" s="376" t="str">
        <f>IF(REF_Leaseholders="No", "N/A", IF(H44&lt;&gt;"", H44+35, ""))</f>
        <v/>
      </c>
      <c r="I45" s="371" t="str">
        <f>IF(TBL_ADD_03_Dates[[#This Row],[Type]]="Heading", "", IF(TBL_ADD_03_Dates[[#This Row],[Activity]]="Time", "Note: use XX:XX format", IF(TBL_ADD_03_Dates[[#This Row],[Date]]="N/A", "N/A", IF(TBL_ADD_03_Dates[[#This Row],[Date]]&lt;&gt;"", TEXT(TBL_ADD_03_Dates[[#This Row],[Date]], "DDDD"), ""))))</f>
        <v/>
      </c>
      <c r="J45" s="385"/>
    </row>
    <row r="46" spans="1:10">
      <c r="A46" s="373" t="s">
        <v>24</v>
      </c>
      <c r="B46" s="375" t="s">
        <v>460</v>
      </c>
      <c r="C46" s="375" t="s">
        <v>317</v>
      </c>
      <c r="D46" s="80" t="str">
        <f>IF(OR(TBL_ADD_03_Dates[[#This Row],[Y/N]]="No", TBL_ADD_03_Dates[[#This Row],[Type]]="Heading"), "", IF(TBL_ADD_03_Dates[[#This Row],[Date]]&lt;&gt;"", "", "Add"))</f>
        <v>Add</v>
      </c>
      <c r="E46" s="80" t="str">
        <f>IF(AND(TBL_ADD_03_Dates[[#This Row],[Y/N]]="Yes", TBL_ADD_03_Dates[[#This Row],[Date]]&lt;&gt;""), IF(OR(TBL_ADD_03_Dates[[#This Row],[Day of the Week]]="Saturday", TBL_ADD_03_Dates[[#This Row],[Day of the Week]]="Sunday"), "Error!", ""), "")</f>
        <v/>
      </c>
      <c r="F46" s="374" t="s">
        <v>467</v>
      </c>
      <c r="G46" s="98" t="s">
        <v>48</v>
      </c>
      <c r="H46" s="376"/>
      <c r="I46" s="371" t="str">
        <f>IF(TBL_ADD_03_Dates[[#This Row],[Type]]="Heading", "", IF(TBL_ADD_03_Dates[[#This Row],[Activity]]="Time", "Note: use XX:XX format", IF(TBL_ADD_03_Dates[[#This Row],[Date]]="N/A", "N/A", IF(TBL_ADD_03_Dates[[#This Row],[Date]]&lt;&gt;"", TEXT(TBL_ADD_03_Dates[[#This Row],[Date]], "DDDD"), ""))))</f>
        <v/>
      </c>
      <c r="J46" s="385"/>
    </row>
    <row r="47" spans="1:10">
      <c r="A47" s="373" t="s">
        <v>1882</v>
      </c>
      <c r="B47" s="373" t="s">
        <v>2160</v>
      </c>
      <c r="C47" s="375" t="s">
        <v>24</v>
      </c>
      <c r="D47" s="80" t="str">
        <f>IF(OR(TBL_ADD_03_Dates[[#This Row],[Y/N]]="No", TBL_ADD_03_Dates[[#This Row],[Type]]="Heading"), "", IF(TBL_ADD_03_Dates[[#This Row],[Date]]&lt;&gt;"", "", "Add"))</f>
        <v/>
      </c>
      <c r="E47" s="80" t="str">
        <f>IF(AND(TBL_ADD_03_Dates[[#This Row],[Y/N]]="Yes", TBL_ADD_03_Dates[[#This Row],[Date]]&lt;&gt;""), IF(OR(TBL_ADD_03_Dates[[#This Row],[Day of the Week]]="Saturday", TBL_ADD_03_Dates[[#This Row],[Day of the Week]]="Sunday"), "Error!", ""), "")</f>
        <v/>
      </c>
      <c r="F47" s="374" t="s">
        <v>467</v>
      </c>
      <c r="G47" s="371" t="s">
        <v>119</v>
      </c>
      <c r="H47" s="372"/>
      <c r="I47" s="371" t="str">
        <f>IF(TBL_ADD_03_Dates[[#This Row],[Type]]="Heading", "", IF(TBL_ADD_03_Dates[[#This Row],[Activity]]="Time", "Note: use XX:XX format", IF(TBL_ADD_03_Dates[[#This Row],[Date]]="N/A", "N/A", IF(TBL_ADD_03_Dates[[#This Row],[Date]]&lt;&gt;"", TEXT(TBL_ADD_03_Dates[[#This Row],[Date]], "DDDD"), ""))))</f>
        <v/>
      </c>
      <c r="J47" s="385"/>
    </row>
    <row r="48" spans="1:10">
      <c r="A48" s="373" t="s">
        <v>24</v>
      </c>
      <c r="B48" s="375" t="s">
        <v>461</v>
      </c>
      <c r="C48" s="375" t="s">
        <v>458</v>
      </c>
      <c r="D48" s="80" t="str">
        <f>IF(OR(TBL_ADD_03_Dates[[#This Row],[Y/N]]="No", TBL_ADD_03_Dates[[#This Row],[Type]]="Heading"), "", IF(TBL_ADD_03_Dates[[#This Row],[Date]]&lt;&gt;"", "", "Add"))</f>
        <v>Add</v>
      </c>
      <c r="E48" s="80" t="str">
        <f>IF(AND(TBL_ADD_03_Dates[[#This Row],[Y/N]]="Yes", TBL_ADD_03_Dates[[#This Row],[Date]]&lt;&gt;""), IF(OR(TBL_ADD_03_Dates[[#This Row],[Day of the Week]]="Saturday", TBL_ADD_03_Dates[[#This Row],[Day of the Week]]="Sunday"), "Error!", ""), "")</f>
        <v/>
      </c>
      <c r="F48" s="374" t="s">
        <v>467</v>
      </c>
      <c r="G48" s="375" t="s">
        <v>465</v>
      </c>
      <c r="H48" s="376" t="str">
        <f>IF(H46&lt;&gt;"", H46+11, "")</f>
        <v/>
      </c>
      <c r="I48" s="371" t="str">
        <f>IF(TBL_ADD_03_Dates[[#This Row],[Type]]="Heading", "", IF(TBL_ADD_03_Dates[[#This Row],[Activity]]="Time", "Note: use XX:XX format", IF(TBL_ADD_03_Dates[[#This Row],[Date]]="N/A", "N/A", IF(TBL_ADD_03_Dates[[#This Row],[Date]]&lt;&gt;"", TEXT(TBL_ADD_03_Dates[[#This Row],[Date]], "DDDD"), ""))))</f>
        <v/>
      </c>
      <c r="J48" s="385"/>
    </row>
    <row r="49" spans="1:10">
      <c r="A49" s="373" t="s">
        <v>24</v>
      </c>
      <c r="B49" s="375" t="s">
        <v>463</v>
      </c>
      <c r="C49" s="375" t="s">
        <v>463</v>
      </c>
      <c r="D49" s="80" t="str">
        <f>IF(OR(TBL_ADD_03_Dates[[#This Row],[Y/N]]="No", TBL_ADD_03_Dates[[#This Row],[Type]]="Heading"), "", IF(TBL_ADD_03_Dates[[#This Row],[Date]]&lt;&gt;"", "", "Add"))</f>
        <v>Add</v>
      </c>
      <c r="E49" s="80" t="str">
        <f>IF(AND(TBL_ADD_03_Dates[[#This Row],[Y/N]]="Yes", TBL_ADD_03_Dates[[#This Row],[Date]]&lt;&gt;""), IF(OR(TBL_ADD_03_Dates[[#This Row],[Day of the Week]]="Saturday", TBL_ADD_03_Dates[[#This Row],[Day of the Week]]="Sunday"), "Error!", ""), "")</f>
        <v/>
      </c>
      <c r="F49" s="374" t="s">
        <v>467</v>
      </c>
      <c r="G49" s="98" t="s">
        <v>17</v>
      </c>
      <c r="H49" s="376"/>
      <c r="I49" s="371" t="str">
        <f>IF(TBL_ADD_03_Dates[[#This Row],[Type]]="Heading", "", IF(TBL_ADD_03_Dates[[#This Row],[Activity]]="Time", "Note: use XX:XX format", IF(TBL_ADD_03_Dates[[#This Row],[Date]]="N/A", "N/A", IF(TBL_ADD_03_Dates[[#This Row],[Date]]&lt;&gt;"", TEXT(TBL_ADD_03_Dates[[#This Row],[Date]], "DDDD"), ""))))</f>
        <v/>
      </c>
      <c r="J49" s="385"/>
    </row>
    <row r="50" spans="1:10">
      <c r="A50" s="373" t="s">
        <v>24</v>
      </c>
      <c r="B50" s="375" t="s">
        <v>462</v>
      </c>
      <c r="C50" s="375" t="s">
        <v>462</v>
      </c>
      <c r="D50" s="80" t="str">
        <f>IF(OR(TBL_ADD_03_Dates[[#This Row],[Y/N]]="No", TBL_ADD_03_Dates[[#This Row],[Type]]="Heading"), "", IF(TBL_ADD_03_Dates[[#This Row],[Date]]&lt;&gt;"", "", "Add"))</f>
        <v>Add</v>
      </c>
      <c r="E50" s="80" t="str">
        <f>IF(AND(TBL_ADD_03_Dates[[#This Row],[Y/N]]="Yes", TBL_ADD_03_Dates[[#This Row],[Date]]&lt;&gt;""), IF(OR(TBL_ADD_03_Dates[[#This Row],[Day of the Week]]="Saturday", TBL_ADD_03_Dates[[#This Row],[Day of the Week]]="Sunday"), "Error!", ""), "")</f>
        <v/>
      </c>
      <c r="F50" s="374" t="s">
        <v>467</v>
      </c>
      <c r="G50" s="98" t="s">
        <v>16</v>
      </c>
      <c r="H50" s="376"/>
      <c r="I50" s="371" t="str">
        <f>IF(TBL_ADD_03_Dates[[#This Row],[Type]]="Heading", "", IF(TBL_ADD_03_Dates[[#This Row],[Activity]]="Time", "Note: use XX:XX format", IF(TBL_ADD_03_Dates[[#This Row],[Date]]="N/A", "N/A", IF(TBL_ADD_03_Dates[[#This Row],[Date]]&lt;&gt;"", TEXT(TBL_ADD_03_Dates[[#This Row],[Date]], "DDDD"), ""))))</f>
        <v/>
      </c>
      <c r="J50" s="385"/>
    </row>
    <row r="51" spans="1:10">
      <c r="A51" s="373" t="s">
        <v>24</v>
      </c>
      <c r="B51" s="375" t="s">
        <v>464</v>
      </c>
      <c r="C51" s="375" t="s">
        <v>464</v>
      </c>
      <c r="D51" s="380" t="str">
        <f>IF(OR(TBL_ADD_03_Dates[[#This Row],[Y/N]]="No", TBL_ADD_03_Dates[[#This Row],[Type]]="Heading"), "", IF(TBL_ADD_03_Dates[[#This Row],[Date]]&lt;&gt;"", "", "Add"))</f>
        <v>Add</v>
      </c>
      <c r="E51" s="80" t="str">
        <f>IF(AND(TBL_ADD_03_Dates[[#This Row],[Y/N]]="Yes", TBL_ADD_03_Dates[[#This Row],[Date]]&lt;&gt;""), IF(OR(TBL_ADD_03_Dates[[#This Row],[Day of the Week]]="Saturday", TBL_ADD_03_Dates[[#This Row],[Day of the Week]]="Sunday"), "Error!", ""), "")</f>
        <v/>
      </c>
      <c r="F51" s="374" t="str">
        <f>IF('Project Info'!$K$45="No", "No", "Yes")</f>
        <v>Yes</v>
      </c>
      <c r="G51" s="98" t="s">
        <v>92</v>
      </c>
      <c r="H51" s="376"/>
      <c r="I51" s="371" t="str">
        <f>IF(TBL_ADD_03_Dates[[#This Row],[Type]]="Heading", "", IF(TBL_ADD_03_Dates[[#This Row],[Activity]]="Time", "Note: use XX:XX format", IF(TBL_ADD_03_Dates[[#This Row],[Date]]="N/A", "N/A", IF(TBL_ADD_03_Dates[[#This Row],[Date]]&lt;&gt;"", TEXT(TBL_ADD_03_Dates[[#This Row],[Date]], "DDDD"), ""))))</f>
        <v/>
      </c>
      <c r="J51" s="385"/>
    </row>
  </sheetData>
  <sheetProtection sheet="1" autoFilter="0"/>
  <protectedRanges>
    <protectedRange sqref="H4:H51" name="Dates"/>
  </protectedRanges>
  <conditionalFormatting sqref="A1:I1048576">
    <cfRule type="expression" dxfId="147" priority="3">
      <formula>INDIRECT("A"&amp;ROW())="Heading"</formula>
    </cfRule>
    <cfRule type="expression" dxfId="146" priority="5">
      <formula>INDIRECT("I"&amp;ROW())="No"</formula>
    </cfRule>
    <cfRule type="expression" dxfId="145" priority="16">
      <formula>INDIRECT("E"&amp;ROW())="Error!"</formula>
    </cfRule>
  </conditionalFormatting>
  <conditionalFormatting sqref="H1:H1048576">
    <cfRule type="expression" dxfId="144" priority="17">
      <formula>INDIRECT("D"&amp;ROW())="Add"</formula>
    </cfRule>
  </conditionalFormatting>
  <conditionalFormatting sqref="K1">
    <cfRule type="containsText" dxfId="143" priority="2" operator="containsText" text="Incomplete">
      <formula>NOT(ISERROR(SEARCH("Incomplete",K1)))</formula>
    </cfRule>
  </conditionalFormatting>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T7"/>
  <sheetViews>
    <sheetView topLeftCell="GB8" workbookViewId="0">
      <selection activeCell="GB7" sqref="A1:XFD7"/>
    </sheetView>
  </sheetViews>
  <sheetFormatPr defaultColWidth="9.08984375" defaultRowHeight="14"/>
  <cols>
    <col min="1" max="1" width="9.08984375" style="1"/>
    <col min="2" max="2" width="9.6328125" style="1" bestFit="1" customWidth="1"/>
    <col min="3" max="3" width="10.36328125" style="1" customWidth="1"/>
    <col min="4" max="4" width="15.36328125" style="1" customWidth="1"/>
    <col min="5" max="5" width="8.6328125" style="1" customWidth="1"/>
    <col min="6" max="6" width="44.08984375" style="1" customWidth="1"/>
    <col min="7" max="8" width="45.6328125" style="1" customWidth="1"/>
    <col min="9" max="9" width="15.36328125" style="1" bestFit="1" customWidth="1"/>
    <col min="10" max="10" width="8.6328125" style="1" bestFit="1" customWidth="1"/>
    <col min="11" max="11" width="15.36328125" style="1" customWidth="1"/>
    <col min="12" max="12" width="16.36328125" style="1" bestFit="1" customWidth="1"/>
    <col min="13" max="13" width="16" style="1" bestFit="1" customWidth="1"/>
    <col min="14" max="14" width="14.54296875" style="1" customWidth="1"/>
    <col min="15" max="15" width="14.6328125" style="1" customWidth="1"/>
    <col min="16" max="17" width="11.6328125" style="1" bestFit="1" customWidth="1"/>
    <col min="18" max="19" width="14.36328125" style="1" bestFit="1" customWidth="1"/>
    <col min="20" max="20" width="18.6328125" style="1" customWidth="1"/>
    <col min="21" max="21" width="14.08984375" style="1" bestFit="1" customWidth="1"/>
    <col min="22" max="22" width="13" style="1" bestFit="1" customWidth="1"/>
    <col min="23" max="23" width="12.36328125" style="1" bestFit="1" customWidth="1"/>
    <col min="24" max="24" width="23.6328125" style="1" bestFit="1" customWidth="1"/>
    <col min="25" max="25" width="16.08984375" style="1" bestFit="1" customWidth="1"/>
    <col min="26" max="26" width="11.36328125" style="1" bestFit="1" customWidth="1"/>
    <col min="27" max="27" width="18.36328125" style="1" bestFit="1" customWidth="1"/>
    <col min="28" max="28" width="19.6328125" style="1" bestFit="1" customWidth="1"/>
    <col min="29" max="29" width="17" style="1" bestFit="1" customWidth="1"/>
    <col min="30" max="30" width="18.54296875" style="1" bestFit="1" customWidth="1"/>
    <col min="31" max="31" width="12" style="1" bestFit="1" customWidth="1"/>
    <col min="32" max="32" width="13.36328125" style="1" bestFit="1" customWidth="1"/>
    <col min="33" max="33" width="11.6328125" style="1" bestFit="1" customWidth="1"/>
    <col min="34" max="34" width="15.90625" style="1" bestFit="1" customWidth="1"/>
    <col min="35" max="35" width="17.90625" style="1" bestFit="1" customWidth="1"/>
    <col min="36" max="36" width="17" style="1" bestFit="1" customWidth="1"/>
    <col min="37" max="37" width="18.6328125" style="1" bestFit="1" customWidth="1"/>
    <col min="38" max="38" width="15.08984375" style="1" bestFit="1" customWidth="1"/>
    <col min="39" max="40" width="16.6328125" style="1" bestFit="1" customWidth="1"/>
    <col min="41" max="42" width="18.36328125" style="1" bestFit="1" customWidth="1"/>
    <col min="43" max="43" width="17.6328125" style="1" bestFit="1" customWidth="1"/>
    <col min="44" max="44" width="15.6328125" style="1" bestFit="1" customWidth="1"/>
    <col min="45" max="46" width="16.36328125" style="1" bestFit="1" customWidth="1"/>
    <col min="47" max="47" width="16.6328125" style="1" bestFit="1" customWidth="1"/>
    <col min="48" max="48" width="16.90625" style="1" bestFit="1" customWidth="1"/>
    <col min="49" max="49" width="17.36328125" style="1" bestFit="1" customWidth="1"/>
    <col min="50" max="50" width="17.453125" style="1" bestFit="1" customWidth="1"/>
    <col min="51" max="51" width="17.90625" style="1" bestFit="1" customWidth="1"/>
    <col min="52" max="52" width="17" style="1" bestFit="1" customWidth="1"/>
    <col min="53" max="53" width="18.6328125" style="1" bestFit="1" customWidth="1"/>
    <col min="54" max="54" width="15.08984375" style="1" bestFit="1" customWidth="1"/>
    <col min="55" max="56" width="16.6328125" style="1" bestFit="1" customWidth="1"/>
    <col min="57" max="58" width="18.36328125" style="1" bestFit="1" customWidth="1"/>
    <col min="59" max="59" width="17.6328125" style="1" bestFit="1" customWidth="1"/>
    <col min="60" max="60" width="15.6328125" style="1" bestFit="1" customWidth="1"/>
    <col min="61" max="62" width="16.36328125" style="1" bestFit="1" customWidth="1"/>
    <col min="63" max="63" width="16.6328125" style="1" bestFit="1" customWidth="1"/>
    <col min="64" max="64" width="16.90625" style="1" bestFit="1" customWidth="1"/>
    <col min="65" max="65" width="17.36328125" style="1" bestFit="1" customWidth="1"/>
    <col min="66" max="66" width="17.453125" style="1" bestFit="1" customWidth="1"/>
    <col min="67" max="67" width="17.90625" style="1" bestFit="1" customWidth="1"/>
    <col min="68" max="68" width="17" style="1" bestFit="1" customWidth="1"/>
    <col min="69" max="69" width="18.6328125" style="1" bestFit="1" customWidth="1"/>
    <col min="70" max="70" width="15.08984375" style="1" bestFit="1" customWidth="1"/>
    <col min="71" max="72" width="16.6328125" style="1" bestFit="1" customWidth="1"/>
    <col min="73" max="74" width="18.36328125" style="1" bestFit="1" customWidth="1"/>
    <col min="75" max="75" width="17.6328125" style="1" bestFit="1" customWidth="1"/>
    <col min="76" max="76" width="15.6328125" style="1" bestFit="1" customWidth="1"/>
    <col min="77" max="78" width="16.36328125" style="1" bestFit="1" customWidth="1"/>
    <col min="79" max="79" width="16.6328125" style="1" bestFit="1" customWidth="1"/>
    <col min="80" max="80" width="16.90625" style="1" bestFit="1" customWidth="1"/>
    <col min="81" max="81" width="17.36328125" style="1" bestFit="1" customWidth="1"/>
    <col min="82" max="82" width="17.453125" style="1" bestFit="1" customWidth="1"/>
    <col min="83" max="83" width="17.90625" style="1" bestFit="1" customWidth="1"/>
    <col min="84" max="84" width="17" style="1" bestFit="1" customWidth="1"/>
    <col min="85" max="85" width="18.6328125" style="1" bestFit="1" customWidth="1"/>
    <col min="86" max="86" width="15.08984375" style="1" bestFit="1" customWidth="1"/>
    <col min="87" max="88" width="16.6328125" style="1" bestFit="1" customWidth="1"/>
    <col min="89" max="90" width="18.36328125" style="1" bestFit="1" customWidth="1"/>
    <col min="91" max="91" width="17.6328125" style="1" bestFit="1" customWidth="1"/>
    <col min="92" max="92" width="15.6328125" style="1" bestFit="1" customWidth="1"/>
    <col min="93" max="94" width="16.36328125" style="1" bestFit="1" customWidth="1"/>
    <col min="95" max="95" width="16.6328125" style="1" bestFit="1" customWidth="1"/>
    <col min="96" max="96" width="16.90625" style="1" bestFit="1" customWidth="1"/>
    <col min="97" max="97" width="17.36328125" style="1" bestFit="1" customWidth="1"/>
    <col min="98" max="98" width="17.453125" style="1" bestFit="1" customWidth="1"/>
    <col min="99" max="99" width="17.90625" style="1" bestFit="1" customWidth="1"/>
    <col min="100" max="100" width="17" style="1" bestFit="1" customWidth="1"/>
    <col min="101" max="101" width="18.6328125" style="1" bestFit="1" customWidth="1"/>
    <col min="102" max="102" width="15.08984375" style="1" bestFit="1" customWidth="1"/>
    <col min="103" max="104" width="16.6328125" style="1" bestFit="1" customWidth="1"/>
    <col min="105" max="106" width="18.36328125" style="1" bestFit="1" customWidth="1"/>
    <col min="107" max="107" width="17.6328125" style="1" bestFit="1" customWidth="1"/>
    <col min="108" max="108" width="15.6328125" style="1" customWidth="1"/>
    <col min="109" max="110" width="16.36328125" style="1" customWidth="1"/>
    <col min="111" max="111" width="16.6328125" style="1" customWidth="1"/>
    <col min="112" max="112" width="16.90625" style="1" customWidth="1"/>
    <col min="113" max="113" width="17.36328125" style="1" customWidth="1"/>
    <col min="114" max="114" width="17.453125" style="1" customWidth="1"/>
    <col min="115" max="115" width="17.90625" style="1" customWidth="1"/>
    <col min="116" max="116" width="15.453125" style="1" customWidth="1"/>
    <col min="117" max="117" width="21.90625" style="1" customWidth="1"/>
    <col min="118" max="118" width="13" style="1" bestFit="1" customWidth="1"/>
    <col min="119" max="120" width="17.6328125" style="1" customWidth="1"/>
    <col min="121" max="121" width="15.36328125" style="1" bestFit="1" customWidth="1"/>
    <col min="122" max="122" width="15.6328125" style="1" bestFit="1" customWidth="1"/>
    <col min="123" max="123" width="18" style="1" bestFit="1" customWidth="1"/>
    <col min="124" max="124" width="15.08984375" style="1" bestFit="1" customWidth="1"/>
    <col min="125" max="125" width="13.08984375" style="1" bestFit="1" customWidth="1"/>
    <col min="126" max="126" width="15.36328125" style="1" bestFit="1" customWidth="1"/>
    <col min="127" max="127" width="14.36328125" style="1" bestFit="1" customWidth="1"/>
    <col min="128" max="128" width="14.6328125" style="1" bestFit="1" customWidth="1"/>
    <col min="129" max="129" width="16" style="1" bestFit="1" customWidth="1"/>
    <col min="130" max="130" width="9.36328125" style="1" bestFit="1" customWidth="1"/>
    <col min="131" max="131" width="8.08984375" style="1" bestFit="1" customWidth="1"/>
    <col min="132" max="132" width="7.36328125" style="1" bestFit="1" customWidth="1"/>
    <col min="133" max="133" width="14.54296875" style="1" bestFit="1" customWidth="1"/>
    <col min="134" max="134" width="12" style="1" bestFit="1" customWidth="1"/>
    <col min="135" max="135" width="11.90625" style="1" bestFit="1" customWidth="1"/>
    <col min="136" max="136" width="11.36328125" style="1" bestFit="1" customWidth="1"/>
    <col min="137" max="137" width="13.54296875" style="1" bestFit="1" customWidth="1"/>
    <col min="138" max="138" width="15.54296875" style="1" bestFit="1" customWidth="1"/>
    <col min="139" max="139" width="16.08984375" style="1" bestFit="1" customWidth="1"/>
    <col min="140" max="140" width="13.6328125" style="1" bestFit="1" customWidth="1"/>
    <col min="141" max="141" width="20" style="1" bestFit="1" customWidth="1"/>
    <col min="142" max="142" width="17.453125" style="1" bestFit="1" customWidth="1"/>
    <col min="143" max="143" width="16.36328125" style="1" bestFit="1" customWidth="1"/>
    <col min="144" max="144" width="12.36328125" style="1" bestFit="1" customWidth="1"/>
    <col min="145" max="145" width="12.6328125" style="1" bestFit="1" customWidth="1"/>
    <col min="146" max="146" width="18.90625" style="1" bestFit="1" customWidth="1"/>
    <col min="147" max="147" width="16.453125" style="1" bestFit="1" customWidth="1"/>
    <col min="148" max="148" width="17" style="1" bestFit="1" customWidth="1"/>
    <col min="149" max="149" width="15.36328125" style="1" bestFit="1" customWidth="1"/>
    <col min="150" max="150" width="11.36328125" style="1" bestFit="1" customWidth="1"/>
    <col min="151" max="151" width="13" style="1" bestFit="1" customWidth="1"/>
    <col min="152" max="152" width="17.90625" style="1" customWidth="1"/>
    <col min="153" max="153" width="17.36328125" style="1" bestFit="1" customWidth="1"/>
    <col min="154" max="154" width="15.54296875" style="1" bestFit="1" customWidth="1"/>
    <col min="155" max="155" width="11.54296875" style="1" bestFit="1" customWidth="1"/>
    <col min="156" max="156" width="12.453125" style="1" bestFit="1" customWidth="1"/>
    <col min="157" max="161" width="11.54296875" style="1" bestFit="1" customWidth="1"/>
    <col min="162" max="162" width="13" style="1" bestFit="1" customWidth="1"/>
    <col min="163" max="163" width="19.36328125" style="1" bestFit="1" customWidth="1"/>
    <col min="164" max="168" width="20.6328125" style="1" bestFit="1" customWidth="1"/>
    <col min="169" max="169" width="18.08984375" style="1" bestFit="1" customWidth="1"/>
    <col min="170" max="174" width="19.6328125" style="1" bestFit="1" customWidth="1"/>
    <col min="175" max="175" width="18.54296875" style="1" bestFit="1" customWidth="1"/>
    <col min="176" max="180" width="20" style="1" bestFit="1" customWidth="1"/>
    <col min="181" max="181" width="12.36328125" style="1" bestFit="1" customWidth="1"/>
    <col min="182" max="186" width="18.36328125" style="1" bestFit="1" customWidth="1"/>
    <col min="187" max="187" width="12.90625" style="1" bestFit="1" customWidth="1"/>
    <col min="188" max="188" width="12.6328125" style="1" bestFit="1" customWidth="1"/>
    <col min="189" max="189" width="7.36328125" style="1" bestFit="1" customWidth="1"/>
    <col min="190" max="190" width="11.6328125" style="1" bestFit="1" customWidth="1"/>
    <col min="191" max="191" width="21.6328125" style="1" bestFit="1" customWidth="1"/>
    <col min="192" max="192" width="16.54296875" style="1" bestFit="1" customWidth="1"/>
    <col min="193" max="193" width="14.08984375" style="1" bestFit="1" customWidth="1"/>
    <col min="194" max="194" width="19.453125" style="1" bestFit="1" customWidth="1"/>
    <col min="195" max="195" width="25.36328125" style="1" bestFit="1" customWidth="1"/>
    <col min="196" max="197" width="17.36328125" style="1" bestFit="1" customWidth="1"/>
    <col min="198" max="198" width="17.36328125" style="1" customWidth="1"/>
    <col min="199" max="199" width="21.6328125" style="1" bestFit="1" customWidth="1"/>
    <col min="200" max="200" width="13.54296875" style="1" bestFit="1" customWidth="1"/>
    <col min="201" max="201" width="13.453125" style="1" bestFit="1" customWidth="1"/>
    <col min="202" max="202" width="14.36328125" style="1" bestFit="1" customWidth="1"/>
    <col min="203" max="203" width="12.6328125" style="1" bestFit="1" customWidth="1"/>
    <col min="204" max="204" width="11.90625" style="1" bestFit="1" customWidth="1"/>
    <col min="205" max="205" width="24.6328125" style="1" customWidth="1"/>
    <col min="206" max="207" width="11.90625" style="1" customWidth="1"/>
    <col min="208" max="208" width="24.6328125" style="1" customWidth="1"/>
    <col min="209" max="209" width="17.6328125" style="1" bestFit="1" customWidth="1"/>
    <col min="210" max="210" width="26.6328125" style="1" bestFit="1" customWidth="1"/>
    <col min="211" max="212" width="18.6328125" style="1" bestFit="1" customWidth="1"/>
    <col min="213" max="213" width="19.54296875" style="1" bestFit="1" customWidth="1"/>
    <col min="214" max="214" width="17.90625" style="1" bestFit="1" customWidth="1"/>
    <col min="215" max="215" width="17.08984375" style="1" bestFit="1" customWidth="1"/>
    <col min="216" max="216" width="24.6328125" style="1" customWidth="1"/>
    <col min="217" max="217" width="16.6328125" style="1" bestFit="1" customWidth="1"/>
    <col min="218" max="218" width="7.54296875" style="1" bestFit="1" customWidth="1"/>
    <col min="219" max="219" width="12.6328125" style="1" bestFit="1" customWidth="1"/>
    <col min="220" max="220" width="12.36328125" style="1" bestFit="1" customWidth="1"/>
    <col min="221" max="221" width="11.6328125" style="1" bestFit="1" customWidth="1"/>
    <col min="222" max="222" width="7.6328125" style="1" bestFit="1" customWidth="1"/>
    <col min="223" max="223" width="16" style="1" bestFit="1" customWidth="1"/>
    <col min="224" max="224" width="9.08984375" style="1"/>
    <col min="225" max="225" width="18.6328125" style="1" bestFit="1" customWidth="1"/>
    <col min="226" max="226" width="15.36328125" style="1" bestFit="1" customWidth="1"/>
    <col min="227" max="227" width="100.453125" style="1" bestFit="1" customWidth="1"/>
    <col min="228" max="16384" width="9.08984375" style="1"/>
  </cols>
  <sheetData>
    <row r="1" spans="1:228" hidden="1">
      <c r="A1" s="383" t="s">
        <v>345</v>
      </c>
      <c r="B1" s="370" t="s">
        <v>1881</v>
      </c>
      <c r="C1" s="370" t="s">
        <v>53</v>
      </c>
      <c r="D1" s="383" t="s">
        <v>29</v>
      </c>
      <c r="E1" s="383" t="s">
        <v>30</v>
      </c>
      <c r="F1" s="383" t="s">
        <v>31</v>
      </c>
      <c r="G1" s="383" t="s">
        <v>91</v>
      </c>
      <c r="H1" s="383" t="s">
        <v>32</v>
      </c>
      <c r="I1" s="383" t="s">
        <v>33</v>
      </c>
      <c r="J1" s="383" t="s">
        <v>87</v>
      </c>
      <c r="K1" s="383" t="s">
        <v>2142</v>
      </c>
      <c r="L1" s="383" t="s">
        <v>2143</v>
      </c>
      <c r="M1" s="383" t="s">
        <v>2144</v>
      </c>
      <c r="N1" s="383" t="s">
        <v>2145</v>
      </c>
      <c r="O1" s="383" t="s">
        <v>1784</v>
      </c>
      <c r="P1" s="383" t="s">
        <v>142</v>
      </c>
      <c r="Q1" s="383" t="s">
        <v>534</v>
      </c>
      <c r="R1" s="383" t="s">
        <v>2110</v>
      </c>
      <c r="S1" s="383" t="s">
        <v>2111</v>
      </c>
      <c r="T1" s="383" t="s">
        <v>448</v>
      </c>
      <c r="U1" s="1" t="s">
        <v>549</v>
      </c>
      <c r="V1" s="383" t="s">
        <v>2123</v>
      </c>
      <c r="W1" s="383" t="s">
        <v>2149</v>
      </c>
      <c r="X1" s="383" t="s">
        <v>34</v>
      </c>
      <c r="Y1" s="383" t="s">
        <v>35</v>
      </c>
      <c r="Z1" s="383" t="s">
        <v>2124</v>
      </c>
      <c r="AA1" s="383" t="s">
        <v>36</v>
      </c>
      <c r="AB1" s="383" t="s">
        <v>474</v>
      </c>
      <c r="AC1" s="383" t="s">
        <v>1298</v>
      </c>
      <c r="AD1" s="383" t="s">
        <v>51</v>
      </c>
      <c r="AE1" s="383" t="s">
        <v>400</v>
      </c>
      <c r="AF1" s="383" t="s">
        <v>2125</v>
      </c>
      <c r="AG1" s="383" t="s">
        <v>2126</v>
      </c>
      <c r="AH1" s="383" t="s">
        <v>441</v>
      </c>
      <c r="AI1" s="383" t="s">
        <v>2127</v>
      </c>
      <c r="AJ1" s="383" t="s">
        <v>353</v>
      </c>
      <c r="AK1" s="383" t="s">
        <v>354</v>
      </c>
      <c r="AL1" s="383" t="s">
        <v>1852</v>
      </c>
      <c r="AM1" s="383" t="s">
        <v>355</v>
      </c>
      <c r="AN1" s="383" t="s">
        <v>1857</v>
      </c>
      <c r="AO1" s="383" t="s">
        <v>356</v>
      </c>
      <c r="AP1" s="383" t="s">
        <v>357</v>
      </c>
      <c r="AQ1" s="383" t="s">
        <v>358</v>
      </c>
      <c r="AR1" s="383" t="s">
        <v>1826</v>
      </c>
      <c r="AS1" s="383" t="s">
        <v>1827</v>
      </c>
      <c r="AT1" s="383" t="s">
        <v>1828</v>
      </c>
      <c r="AU1" s="383" t="s">
        <v>1829</v>
      </c>
      <c r="AV1" s="383" t="s">
        <v>1830</v>
      </c>
      <c r="AW1" s="383" t="s">
        <v>1831</v>
      </c>
      <c r="AX1" s="383" t="s">
        <v>359</v>
      </c>
      <c r="AY1" s="383" t="s">
        <v>360</v>
      </c>
      <c r="AZ1" s="383" t="s">
        <v>361</v>
      </c>
      <c r="BA1" s="383" t="s">
        <v>362</v>
      </c>
      <c r="BB1" s="383" t="s">
        <v>1853</v>
      </c>
      <c r="BC1" s="383" t="s">
        <v>363</v>
      </c>
      <c r="BD1" s="383" t="s">
        <v>1858</v>
      </c>
      <c r="BE1" s="383" t="s">
        <v>364</v>
      </c>
      <c r="BF1" s="383" t="s">
        <v>365</v>
      </c>
      <c r="BG1" s="383" t="s">
        <v>366</v>
      </c>
      <c r="BH1" s="383" t="s">
        <v>1820</v>
      </c>
      <c r="BI1" s="383" t="s">
        <v>1821</v>
      </c>
      <c r="BJ1" s="383" t="s">
        <v>1822</v>
      </c>
      <c r="BK1" s="383" t="s">
        <v>1823</v>
      </c>
      <c r="BL1" s="383" t="s">
        <v>1824</v>
      </c>
      <c r="BM1" s="383" t="s">
        <v>1825</v>
      </c>
      <c r="BN1" s="383" t="s">
        <v>367</v>
      </c>
      <c r="BO1" s="383" t="s">
        <v>368</v>
      </c>
      <c r="BP1" s="383" t="s">
        <v>369</v>
      </c>
      <c r="BQ1" s="383" t="s">
        <v>370</v>
      </c>
      <c r="BR1" s="383" t="s">
        <v>1854</v>
      </c>
      <c r="BS1" s="383" t="s">
        <v>371</v>
      </c>
      <c r="BT1" s="383" t="s">
        <v>1859</v>
      </c>
      <c r="BU1" s="383" t="s">
        <v>372</v>
      </c>
      <c r="BV1" s="383" t="s">
        <v>373</v>
      </c>
      <c r="BW1" s="383" t="s">
        <v>374</v>
      </c>
      <c r="BX1" s="383" t="s">
        <v>1814</v>
      </c>
      <c r="BY1" s="383" t="s">
        <v>1815</v>
      </c>
      <c r="BZ1" s="383" t="s">
        <v>1816</v>
      </c>
      <c r="CA1" s="383" t="s">
        <v>1817</v>
      </c>
      <c r="CB1" s="383" t="s">
        <v>1818</v>
      </c>
      <c r="CC1" s="383" t="s">
        <v>1819</v>
      </c>
      <c r="CD1" s="383" t="s">
        <v>375</v>
      </c>
      <c r="CE1" s="383" t="s">
        <v>376</v>
      </c>
      <c r="CF1" s="383" t="s">
        <v>377</v>
      </c>
      <c r="CG1" s="383" t="s">
        <v>378</v>
      </c>
      <c r="CH1" s="383" t="s">
        <v>1855</v>
      </c>
      <c r="CI1" s="383" t="s">
        <v>379</v>
      </c>
      <c r="CJ1" s="383" t="s">
        <v>1880</v>
      </c>
      <c r="CK1" s="383" t="s">
        <v>380</v>
      </c>
      <c r="CL1" s="383" t="s">
        <v>381</v>
      </c>
      <c r="CM1" s="383" t="s">
        <v>382</v>
      </c>
      <c r="CN1" s="383" t="s">
        <v>1808</v>
      </c>
      <c r="CO1" s="383" t="s">
        <v>1809</v>
      </c>
      <c r="CP1" s="383" t="s">
        <v>1810</v>
      </c>
      <c r="CQ1" s="383" t="s">
        <v>1811</v>
      </c>
      <c r="CR1" s="383" t="s">
        <v>1812</v>
      </c>
      <c r="CS1" s="383" t="s">
        <v>1813</v>
      </c>
      <c r="CT1" s="383" t="s">
        <v>383</v>
      </c>
      <c r="CU1" s="383" t="s">
        <v>384</v>
      </c>
      <c r="CV1" s="383" t="s">
        <v>385</v>
      </c>
      <c r="CW1" s="383" t="s">
        <v>386</v>
      </c>
      <c r="CX1" s="383" t="s">
        <v>1856</v>
      </c>
      <c r="CY1" s="383" t="s">
        <v>387</v>
      </c>
      <c r="CZ1" s="383" t="s">
        <v>1860</v>
      </c>
      <c r="DA1" s="383" t="s">
        <v>388</v>
      </c>
      <c r="DB1" s="383" t="s">
        <v>389</v>
      </c>
      <c r="DC1" s="383" t="s">
        <v>390</v>
      </c>
      <c r="DD1" s="383" t="s">
        <v>1802</v>
      </c>
      <c r="DE1" s="383" t="s">
        <v>1803</v>
      </c>
      <c r="DF1" s="383" t="s">
        <v>1804</v>
      </c>
      <c r="DG1" s="383" t="s">
        <v>1805</v>
      </c>
      <c r="DH1" s="383" t="s">
        <v>1806</v>
      </c>
      <c r="DI1" s="383" t="s">
        <v>1807</v>
      </c>
      <c r="DJ1" s="383" t="s">
        <v>391</v>
      </c>
      <c r="DK1" s="383" t="s">
        <v>392</v>
      </c>
      <c r="DL1" s="383" t="s">
        <v>1801</v>
      </c>
      <c r="DM1" s="383" t="s">
        <v>50</v>
      </c>
      <c r="DN1" s="383" t="s">
        <v>2223</v>
      </c>
      <c r="DO1" s="383" t="s">
        <v>326</v>
      </c>
      <c r="DP1" s="383" t="s">
        <v>327</v>
      </c>
      <c r="DQ1" s="383" t="s">
        <v>2219</v>
      </c>
      <c r="DR1" s="383" t="s">
        <v>37</v>
      </c>
      <c r="DS1" s="383" t="s">
        <v>38</v>
      </c>
      <c r="DT1" s="383" t="s">
        <v>97</v>
      </c>
      <c r="DU1" s="383" t="s">
        <v>121</v>
      </c>
      <c r="DV1" s="383" t="s">
        <v>123</v>
      </c>
      <c r="DW1" s="383" t="s">
        <v>39</v>
      </c>
      <c r="DX1" s="383" t="s">
        <v>40</v>
      </c>
      <c r="DY1" s="383" t="s">
        <v>98</v>
      </c>
      <c r="DZ1" s="383" t="s">
        <v>2128</v>
      </c>
      <c r="EA1" s="383" t="s">
        <v>2129</v>
      </c>
      <c r="EB1" s="383" t="s">
        <v>330</v>
      </c>
      <c r="EC1" s="383" t="s">
        <v>15</v>
      </c>
      <c r="ED1" s="383" t="s">
        <v>2152</v>
      </c>
      <c r="EE1" s="383" t="s">
        <v>2153</v>
      </c>
      <c r="EF1" s="383" t="s">
        <v>539</v>
      </c>
      <c r="EG1" s="383" t="s">
        <v>104</v>
      </c>
      <c r="EH1" s="383" t="s">
        <v>2130</v>
      </c>
      <c r="EI1" s="383" t="s">
        <v>2131</v>
      </c>
      <c r="EJ1" s="383" t="s">
        <v>2132</v>
      </c>
      <c r="EK1" s="383" t="s">
        <v>2133</v>
      </c>
      <c r="EL1" s="383" t="s">
        <v>2134</v>
      </c>
      <c r="EM1" s="383" t="s">
        <v>2112</v>
      </c>
      <c r="EN1" s="383" t="s">
        <v>2220</v>
      </c>
      <c r="EO1" s="383" t="s">
        <v>2135</v>
      </c>
      <c r="EP1" s="383" t="s">
        <v>2136</v>
      </c>
      <c r="EQ1" s="383" t="s">
        <v>2137</v>
      </c>
      <c r="ER1" s="383" t="s">
        <v>468</v>
      </c>
      <c r="ES1" s="383" t="s">
        <v>1786</v>
      </c>
      <c r="ET1" s="383" t="s">
        <v>2221</v>
      </c>
      <c r="EU1" s="383" t="s">
        <v>2138</v>
      </c>
      <c r="EV1" s="383" t="s">
        <v>2154</v>
      </c>
      <c r="EW1" s="383" t="s">
        <v>538</v>
      </c>
      <c r="EX1" s="383" t="s">
        <v>1787</v>
      </c>
      <c r="EY1" s="383" t="s">
        <v>2222</v>
      </c>
      <c r="EZ1" s="383" t="s">
        <v>2139</v>
      </c>
      <c r="FA1" s="383" t="s">
        <v>229</v>
      </c>
      <c r="FB1" s="383" t="s">
        <v>231</v>
      </c>
      <c r="FC1" s="383" t="s">
        <v>581</v>
      </c>
      <c r="FD1" s="383" t="s">
        <v>582</v>
      </c>
      <c r="FE1" s="383" t="s">
        <v>2140</v>
      </c>
      <c r="FF1" s="383" t="s">
        <v>2141</v>
      </c>
      <c r="FG1" s="383" t="s">
        <v>1926</v>
      </c>
      <c r="FH1" s="383" t="s">
        <v>2113</v>
      </c>
      <c r="FI1" s="383" t="s">
        <v>2114</v>
      </c>
      <c r="FJ1" s="383" t="s">
        <v>2115</v>
      </c>
      <c r="FK1" s="383" t="s">
        <v>2116</v>
      </c>
      <c r="FL1" s="383" t="s">
        <v>2117</v>
      </c>
      <c r="FM1" s="383" t="s">
        <v>1929</v>
      </c>
      <c r="FN1" s="383" t="s">
        <v>469</v>
      </c>
      <c r="FO1" s="383" t="s">
        <v>470</v>
      </c>
      <c r="FP1" s="383" t="s">
        <v>471</v>
      </c>
      <c r="FQ1" s="387" t="s">
        <v>472</v>
      </c>
      <c r="FR1" s="383" t="s">
        <v>473</v>
      </c>
      <c r="FS1" s="383" t="s">
        <v>1931</v>
      </c>
      <c r="FT1" s="383" t="s">
        <v>540</v>
      </c>
      <c r="FU1" s="383" t="s">
        <v>541</v>
      </c>
      <c r="FV1" s="383" t="s">
        <v>542</v>
      </c>
      <c r="FW1" s="383" t="s">
        <v>543</v>
      </c>
      <c r="FX1" s="383" t="s">
        <v>544</v>
      </c>
      <c r="FY1" s="383" t="s">
        <v>1927</v>
      </c>
      <c r="FZ1" s="383" t="s">
        <v>2118</v>
      </c>
      <c r="GA1" s="383" t="s">
        <v>2119</v>
      </c>
      <c r="GB1" s="383" t="s">
        <v>2120</v>
      </c>
      <c r="GC1" s="383" t="s">
        <v>2121</v>
      </c>
      <c r="GD1" s="383" t="s">
        <v>2122</v>
      </c>
      <c r="GE1" s="383" t="s">
        <v>398</v>
      </c>
      <c r="GF1" s="383" t="s">
        <v>475</v>
      </c>
      <c r="GG1" s="383" t="s">
        <v>41</v>
      </c>
      <c r="GH1" s="383" t="s">
        <v>42</v>
      </c>
      <c r="GI1" s="383" t="s">
        <v>43</v>
      </c>
      <c r="GJ1" s="383" t="s">
        <v>44</v>
      </c>
      <c r="GK1" s="383" t="s">
        <v>45</v>
      </c>
      <c r="GL1" s="383" t="s">
        <v>1334</v>
      </c>
      <c r="GM1" s="386" t="s">
        <v>321</v>
      </c>
      <c r="GN1" s="386" t="s">
        <v>322</v>
      </c>
      <c r="GO1" s="386" t="s">
        <v>323</v>
      </c>
      <c r="GP1" s="386" t="s">
        <v>2167</v>
      </c>
      <c r="GQ1" s="383" t="s">
        <v>46</v>
      </c>
      <c r="GR1" s="383" t="s">
        <v>47</v>
      </c>
      <c r="GS1" s="383" t="s">
        <v>103</v>
      </c>
      <c r="GT1" s="383" t="s">
        <v>2155</v>
      </c>
      <c r="GU1" s="383" t="s">
        <v>536</v>
      </c>
      <c r="GV1" s="383" t="s">
        <v>537</v>
      </c>
      <c r="GW1" s="383" t="s">
        <v>2171</v>
      </c>
      <c r="GX1" s="383" t="s">
        <v>2169</v>
      </c>
      <c r="GY1" s="383" t="s">
        <v>2170</v>
      </c>
      <c r="GZ1" s="383" t="s">
        <v>2172</v>
      </c>
      <c r="HA1" s="383" t="s">
        <v>2168</v>
      </c>
      <c r="HB1" s="387" t="s">
        <v>578</v>
      </c>
      <c r="HC1" s="383" t="s">
        <v>579</v>
      </c>
      <c r="HD1" s="383" t="s">
        <v>580</v>
      </c>
      <c r="HE1" s="383" t="s">
        <v>2156</v>
      </c>
      <c r="HF1" s="383" t="s">
        <v>2157</v>
      </c>
      <c r="HG1" s="383" t="s">
        <v>2158</v>
      </c>
      <c r="HH1" s="383" t="s">
        <v>2173</v>
      </c>
      <c r="HI1" s="383" t="s">
        <v>49</v>
      </c>
      <c r="HJ1" s="383" t="s">
        <v>464</v>
      </c>
      <c r="HK1" s="383" t="s">
        <v>101</v>
      </c>
      <c r="HL1" s="383" t="s">
        <v>93</v>
      </c>
      <c r="HM1" s="383" t="s">
        <v>2109</v>
      </c>
      <c r="HN1" s="387" t="s">
        <v>100</v>
      </c>
      <c r="HO1" s="388" t="s">
        <v>1475</v>
      </c>
    </row>
    <row r="2" spans="1:228" s="4" customFormat="1" ht="137.5" hidden="1">
      <c r="A2" s="389" t="s">
        <v>1800</v>
      </c>
      <c r="B2" s="400" t="s">
        <v>340</v>
      </c>
      <c r="C2" s="390">
        <f>'Project Info'!$K$5</f>
        <v>0</v>
      </c>
      <c r="D2" s="360" t="str">
        <f>'Project Info'!$K$9</f>
        <v>Royal Borough of Greenwich</v>
      </c>
      <c r="E2" s="360" t="str">
        <f>'Project Info'!$K$10</f>
        <v>Royal Greenwich</v>
      </c>
      <c r="F2" s="360" t="str">
        <f>'Project Info'!$K$7</f>
        <v>Major and Responsive Repairs and Void Refurbishment Contract</v>
      </c>
      <c r="G2" s="360" t="str">
        <f>'Project Info'!$K$8</f>
        <v>major and responsve repairs and void refurbishment works</v>
      </c>
      <c r="H2" s="360" t="str">
        <f>'Project Info'!$K$11</f>
        <v>The Woolwich Centre, 35 Wellington Street, Woolwich, SE18 6HQ.</v>
      </c>
      <c r="I2" s="360" t="str">
        <f>'Project Info'!$K$12</f>
        <v>Areas of Greenwich, Greenwich Peninsula, Charlton, Plumstead, Kidbrooke, Eltham, Woolwich, Thamesmead and Abbey Wood</v>
      </c>
      <c r="J2" s="360" t="str">
        <f>'Project Info'!$L$6</f>
        <v>JW</v>
      </c>
      <c r="K2" s="360" t="str">
        <f t="array" ref="K2">IF(INDEX(TBL_ADD_02_Project_Info[Response], MATCH(1, ("Author"=TBL_ADD_02_Project_Info[Ref])*("All"=TBL_ADD_02_Project_Info[Lot]), 0))&lt;&gt;"", INDEX(TBL_ADD_02_Project_Info[Response], MATCH(1, ("Author"=TBL_ADD_02_Project_Info[Ref])*("All"=TBL_ADD_02_Project_Info[Lot]), 0)), "Add on Eval Info")</f>
        <v>Julie Watts</v>
      </c>
      <c r="L2" s="360" t="str" cm="1">
        <f t="array" ref="L2">IF(INDEX(TBL_ADD_02_Project_Info[Response], MATCH(1, ("Office"=TBL_ADD_02_Project_Info[Ref])*("All"=TBL_ADD_02_Project_Info[Lot]), 0))&lt;&gt;"", INDEX(TBL_ADD_02_Project_Info[Response], MATCH(1, ("Office"=TBL_ADD_02_Project_Info[Ref])*("All"=TBL_ADD_02_Project_Info[Lot]), 0)), "Add on Eval Info")</f>
        <v>Orpington</v>
      </c>
      <c r="M2" s="360" t="str">
        <f>IF(TBL_DATA_00_Doc_Merge[[#This Row],[DOC_Office]]="Add on Eval Info", "Add on Eval Info", VLOOKUP(TBL_DATA_00_Doc_Merge[[#This Row],[DOC_Office]], TBL_REF_04_Offices[], 2, FALSE))</f>
        <v>Central Court, Knoll Rise, Orpington, BR6 0JA</v>
      </c>
      <c r="N2" s="360" t="str">
        <f>IF(TBL_DATA_00_Doc_Merge[[#This Row],[DOC_Office]]="Add on Eval Info", "Add on Eval Info", VLOOKUP(TBL_DATA_00_Doc_Merge[[#This Row],[DOC_Office]], TBL_REF_04_Offices[], 3, FALSE))</f>
        <v>01689 885 080</v>
      </c>
      <c r="O2" s="391" t="str">
        <f>IF(TBL_DATA_00_Doc_Merge[[#This Row],[Tender_Type]]="Final Tender", TEXT(Dates!$H$33, "d MMMM YYYY"), IF(OR( TBL_DATA_00_Doc_Merge[[#This Row],[Tender_Type]]="Initial Tender", TBL_DATA_00_Doc_Merge[[#This Row],[Tender_Type]]="Tender"), IF('Project Info'!$K$29="Draft", TEXT(Dates!$H$5, "d MMMM YYYY"), TEXT(Dates!$H$14, "d MMMM YYYY")), IF(TBL_DATA_00_Doc_Merge[[#This Row],[Procedure]]="Open Procedure", TEXT(Dates!$H$14, "d MMMM YYYY"), TEXT(Dates!$H$5, "d MMMM YYYY"))))</f>
        <v>0 January 1900</v>
      </c>
      <c r="P2" s="360" t="str">
        <f>'Project Info'!$K$14</f>
        <v>Open Procedure</v>
      </c>
      <c r="Q2" s="360" t="str">
        <f>IF(OR('Project Info'!$K$16="Greater than £4.5M", 'Project Info'!$K$16="Greater than £181K"), "Above", "Below")</f>
        <v>Below</v>
      </c>
      <c r="R2" s="360" t="str">
        <f>IF('Project Info'!$K$14="Open Procedure", "Open", IF('Project Info'!$K$28="SQ", "Selection", "Tender"))</f>
        <v>Open</v>
      </c>
      <c r="S2" s="360" t="str">
        <f>'Project Info'!$K$28</f>
        <v>Tender</v>
      </c>
      <c r="T2" s="360" t="str">
        <f>IF(TBL_DATA_00_Doc_Merge[[#This Row],[Doc_Type]]="Selection", $HQ$2, IF(TBL_DATA_00_Doc_Merge[[#This Row],[Doc_Type]]="Open", $HQ$2&amp;" and Tender", IF(TBL_DATA_00_Doc_Merge[[#This Row],[Tender_Type]]="Initial", $HQ$4&amp;"n Initial Tender", IF(TBL_DATA_00_Doc_Merge[[#This Row],[Tender_Type]]="Final", $HQ$4&amp;"Final Tender", $HQ$3))))</f>
        <v>Request to Participate and Tender</v>
      </c>
      <c r="U2" s="360" t="str">
        <f>IF(TBL_DATA_00_Doc_Merge[[#This Row],[Doc_Type]]="Selection", TBL_DATA_00_Doc_Merge[[#This Row],[PAS_or_SQ]], IF(TBL_DATA_00_Doc_Merge[[#This Row],[Doc_Type]]="Open", "Tender", IF(TBL_DATA_00_Doc_Merge[[#This Row],[Tender_Type]]="Initial", "ISIT", IF(TBL_DATA_00_Doc_Merge[[#This Row],[Tender_Type]]="Final", "ISFT", "ITT"))))</f>
        <v>Tender</v>
      </c>
      <c r="V2" s="360" t="str">
        <f>'Project Info'!$K$18</f>
        <v>PAS</v>
      </c>
      <c r="W2" s="360" t="str">
        <f>'Project Info'!$K$19</f>
        <v>No</v>
      </c>
      <c r="X2" s="360" t="str">
        <f>'Project Info'!$K$15</f>
        <v>works</v>
      </c>
      <c r="Y2" s="360" t="str">
        <f>'Project Info'!$K$37</f>
        <v>contracts</v>
      </c>
      <c r="Z2" s="360" t="str">
        <f t="shared" ref="Z2:Z7" si="0">REF_Lotted</f>
        <v>No</v>
      </c>
      <c r="AA2" s="360">
        <f t="shared" ref="AA2:AA7" si="1">REF_No_Lots</f>
        <v>0</v>
      </c>
      <c r="AB2" s="360" t="str">
        <f>VLOOKUP(TBL_DATA_00_Doc_Merge[[#This Row],[No_of_Lots]], TBL_REF_01_Number[], 2, FALSE)&amp;IF(TBL_DATA_00_Doc_Merge[[#This Row],[No_of_Lots]]=1, " Lot", " Lots")</f>
        <v>zero Lots</v>
      </c>
      <c r="AC2" s="360" t="str">
        <f>IF('Project Info'!$K$38="Partnering", IF(OR('Project Info'!$K$39=$HS$2, 'Project Info'!$K$39=$HS$3), "TAC", "TPC"), 'Project Info'!$K$38)</f>
        <v>JCT</v>
      </c>
      <c r="AD2" s="360" t="str">
        <f>'Project Info'!$K$40</f>
        <v>Contractor</v>
      </c>
      <c r="AE2" s="395" t="str">
        <f t="shared" ref="AE2:AE7" si="2">REF_Fin_Check</f>
        <v>No</v>
      </c>
      <c r="AF2" s="396" t="str">
        <f>IF('Project Info'!$K$17="Yes", "Yes", "No")</f>
        <v>Yes</v>
      </c>
      <c r="AG2" s="396" t="str">
        <f>IF('Project Info'!$K$30&lt;&gt;"", 'Project Info'!$K$30, "")</f>
        <v/>
      </c>
      <c r="AH2" s="396" t="str">
        <f>IF($HT$2='Project Info'!$K$20, 'Project Info'!$L$20, 'Project Info'!$K$20)</f>
        <v>Proactis</v>
      </c>
      <c r="AI2" s="396" t="str">
        <f>IF(TBL_DATA_00_Doc_Merge[[#This Row],[Doc_Type]]="Open", TEXT(Dates!$H$14, "d MMMM YYYY"), TEXT(Dates!$H$5, "d MMMM YYYY"))</f>
        <v>0 January 1900</v>
      </c>
      <c r="AJ2" s="396" t="str">
        <f t="array" ref="AJ2">IFERROR(INDEX(TBL_DATA_01_Lot_Info[Name], MATCH(1, (IF(AND(REF_Lotted="Yes", REF_Doc_Lot="All"), "Lot_1", TBL_DATA_00_Doc_Merge[[#This Row],[Lot]])=TBL_DATA_01_Lot_Info[Lot])*("Yes"=TBL_DATA_01_Lot_Info[Include?]), 0)), "N/A")</f>
        <v>N/A</v>
      </c>
      <c r="AK2" s="396" t="str">
        <f t="array" ref="AK2">IFERROR(INDEX(TBL_DATA_01_Lot_Info[Description], MATCH(1, (IF(AND(REF_Lotted="Yes", REF_Doc_Lot="All"), "Lot_1", TBL_DATA_00_Doc_Merge[[#This Row],[Lot]])=TBL_DATA_01_Lot_Info[Lot])*("Yes"=TBL_DATA_01_Lot_Info[Include?]), 0)), "N/A")</f>
        <v>major and responsve repairs and void refurbishment works</v>
      </c>
      <c r="AL2" s="396" t="str">
        <f t="array" ref="AL2">IFERROR(INDEX(TBL_DATA_01_Lot_Info[Props_Approx], MATCH(1, (IF(AND(REF_Lotted="Yes", REF_Doc_Lot="All"), "Lot_1", TBL_DATA_00_Doc_Merge[[#This Row],[Lot]])=TBL_DATA_01_Lot_Info[Lot])*("Yes"=TBL_DATA_01_Lot_Info[Include?]), 0)), "N/A")</f>
        <v>approximately</v>
      </c>
      <c r="AM2" s="396">
        <f t="array" ref="AM2">IFERROR(INDEX(TBL_DATA_01_Lot_Info[Props_No], MATCH(1, (IF(AND(REF_Lotted="Yes", REF_Doc_Lot="All"), "Lot_1", TBL_DATA_00_Doc_Merge[[#This Row],[Lot]])=TBL_DATA_01_Lot_Info[Lot])*("Yes"=TBL_DATA_01_Lot_Info[Include?]), 0)), "N/A")</f>
        <v>20500</v>
      </c>
      <c r="AN2" s="396" t="str">
        <f t="array" ref="AN2">IFERROR(INDEX(TBL_DATA_01_Lot_Info[Props_Type], MATCH(1, (IF(AND(REF_Lotted="Yes", REF_Doc_Lot="All"), "Lot_1", TBL_DATA_00_Doc_Merge[[#This Row],[Lot]])=TBL_DATA_01_Lot_Info[Lot])*("Yes"=TBL_DATA_01_Lot_Info[Include?]), 0)), "N/A")</f>
        <v>properties</v>
      </c>
      <c r="AO2" s="396" t="str">
        <f t="array" ref="AO2">IFERROR(INDEX(TBL_DATA_01_Lot_Info[Value_type], MATCH(1, (IF(AND(REF_Lotted="Yes", REF_Doc_Lot="All"), "Lot_1", TBL_DATA_00_Doc_Merge[[#This Row],[Lot]])=TBL_DATA_01_Lot_Info[Lot])*("Yes"=TBL_DATA_01_Lot_Info[Include?]), 0)), "N/A")</f>
        <v>Single figure</v>
      </c>
      <c r="AP2" s="396">
        <f t="array" ref="AP2">IFERROR(INDEX(TBL_DATA_01_Lot_Info[Value_Max], MATCH(1, (IF(AND(REF_Lotted="Yes", REF_Doc_Lot="All"), "Lot_1", TBL_DATA_00_Doc_Merge[[#This Row],[Lot]])=TBL_DATA_01_Lot_Info[Lot])*("Yes"=TBL_DATA_01_Lot_Info[Include?]), 0)), "N/A")</f>
        <v>56000000</v>
      </c>
      <c r="AQ2" s="396" t="str">
        <f t="array" ref="AQ2">IFERROR(INDEX(TBL_DATA_01_Lot_Info[Value_Min], MATCH(1, (IF(AND(REF_Lotted="Yes", REF_Doc_Lot="All"), "Lot_1", TBL_DATA_00_Doc_Merge[[#This Row],[Lot]])=TBL_DATA_01_Lot_Info[Lot])*("Yes"=TBL_DATA_01_Lot_Info[Include?]), 0)), "N/A")</f>
        <v/>
      </c>
      <c r="AR2" s="396" t="str">
        <f t="array" ref="AR2">IFERROR(IF(INDEX(TBL_DATA_01_Lot_Info[ITT_Min], MATCH(1, (IF(AND(REF_Lotted="Yes", REF_Doc_Lot="All"), "Lot_1", TBL_DATA_00_Doc_Merge[[#This Row],[Lot]])=TBL_DATA_01_Lot_Info[Lot])*("Yes"=TBL_DATA_01_Lot_Info[Include?]), 0))&lt;=10, VLOOKUP(INDEX(TBL_DATA_01_Lot_Info[ITT_Min], MATCH(1, (IF(AND(REF_Lotted="Yes", REF_Doc_Lot="All"), "Lot_1", TBL_DATA_00_Doc_Merge[[#This Row],[Lot]])=TBL_DATA_01_Lot_Info[Lot])*("Yes"=TBL_DATA_01_Lot_Info[Include?]), 0)), TBL_REF_01_Number[], 2, FALSE), INDEX(TBL_DATA_01_Lot_Info[ITT_Min], MATCH(1, (IF(AND(REF_Lotted="Yes", REF_Doc_Lot="All"), "Lot_1", TBL_DATA_00_Doc_Merge[[#This Row],[Lot]])=TBL_DATA_01_Lot_Info[Lot])*("Yes"=TBL_DATA_01_Lot_Info[Include?]), 0))), "N/A")</f>
        <v/>
      </c>
      <c r="AS2" s="396" t="str">
        <f t="array" ref="AS2">IFERROR(IF(INDEX(TBL_DATA_01_Lot_Info[ITT_Max], MATCH(1, (IF(AND(REF_Lotted="Yes", REF_Doc_Lot="All"), "Lot_1", TBL_DATA_00_Doc_Merge[[#This Row],[Lot]])=TBL_DATA_01_Lot_Info[Lot])*("Yes"=TBL_DATA_01_Lot_Info[Include?]), 0))&lt;=10, VLOOKUP(INDEX(TBL_DATA_01_Lot_Info[ITT_Max], MATCH(1, (IF(AND(REF_Lotted="Yes", REF_Doc_Lot="All"), "Lot_1", TBL_DATA_00_Doc_Merge[[#This Row],[Lot]])=TBL_DATA_01_Lot_Info[Lot])*("Yes"=TBL_DATA_01_Lot_Info[Include?]), 0)), TBL_REF_01_Number[], 2, FALSE), INDEX(TBL_DATA_01_Lot_Info[ITT_Max], MATCH(1, (IF(AND(REF_Lotted="Yes", REF_Doc_Lot="All"), "Lot_1", TBL_DATA_00_Doc_Merge[[#This Row],[Lot]])=TBL_DATA_01_Lot_Info[Lot])*("Yes"=TBL_DATA_01_Lot_Info[Include?]), 0))), "N/A")</f>
        <v/>
      </c>
      <c r="AT2" s="396" t="str">
        <f t="array" ref="AT2">IFERROR(IF(INDEX(TBL_DATA_01_Lot_Info[Neg_Min], MATCH(1, (IF(AND(REF_Lotted="Yes", REF_Doc_Lot="All"), "Lot_1", TBL_DATA_00_Doc_Merge[[#This Row],[Lot]])=TBL_DATA_01_Lot_Info[Lot])*("Yes"=TBL_DATA_01_Lot_Info[Include?]), 0))&lt;=10, VLOOKUP(INDEX(TBL_DATA_01_Lot_Info[Neg_Min], MATCH(1, (IF(AND(REF_Lotted="Yes", REF_Doc_Lot="All"), "Lot_1", TBL_DATA_00_Doc_Merge[[#This Row],[Lot]])=TBL_DATA_01_Lot_Info[Lot])*("Yes"=TBL_DATA_01_Lot_Info[Include?]), 0)), TBL_REF_01_Number[], 2, FALSE), INDEX(TBL_DATA_01_Lot_Info[Neg_Min], MATCH(1, (IF(AND(REF_Lotted="Yes", REF_Doc_Lot="All"), "Lot_1", TBL_DATA_00_Doc_Merge[[#This Row],[Lot]])=TBL_DATA_01_Lot_Info[Lot])*("Yes"=TBL_DATA_01_Lot_Info[Include?]), 0))), "N/A")</f>
        <v/>
      </c>
      <c r="AU2" s="396" t="str">
        <f t="array" ref="AU2">IFERROR(IF(INDEX(TBL_DATA_01_Lot_Info[Neg_Max], MATCH(1, (IF(AND(REF_Lotted="Yes", REF_Doc_Lot="All"), "Lot_1", TBL_DATA_00_Doc_Merge[[#This Row],[Lot]])=TBL_DATA_01_Lot_Info[Lot])*("Yes"=TBL_DATA_01_Lot_Info[Include?]), 0))&lt;=10, VLOOKUP(INDEX(TBL_DATA_01_Lot_Info[Neg_Max], MATCH(1, (IF(AND(REF_Lotted="Yes", REF_Doc_Lot="All"), "Lot_1", TBL_DATA_00_Doc_Merge[[#This Row],[Lot]])=TBL_DATA_01_Lot_Info[Lot])*("Yes"=TBL_DATA_01_Lot_Info[Include?]), 0)), TBL_REF_01_Number[], 2, FALSE), INDEX(TBL_DATA_01_Lot_Info[Neg_Max], MATCH(1, (IF(AND(REF_Lotted="Yes", REF_Doc_Lot="All"), "Lot_1", TBL_DATA_00_Doc_Merge[[#This Row],[Lot]])=TBL_DATA_01_Lot_Info[Lot])*("Yes"=TBL_DATA_01_Lot_Info[Include?]), 0))), "N/A")</f>
        <v/>
      </c>
      <c r="AV2" s="396" t="str">
        <f t="array" ref="AV2">IFERROR(IF(INDEX(TBL_DATA_01_Lot_Info[ISFT_Min], MATCH(1, (IF(AND(REF_Lotted="Yes", REF_Doc_Lot="All"), "Lot_1", TBL_DATA_00_Doc_Merge[[#This Row],[Lot]])=TBL_DATA_01_Lot_Info[Lot])*("Yes"=TBL_DATA_01_Lot_Info[Include?]), 0))&lt;=10, VLOOKUP(INDEX(TBL_DATA_01_Lot_Info[ISFT_Min], MATCH(1, (IF(AND(REF_Lotted="Yes", REF_Doc_Lot="All"), "Lot_1", TBL_DATA_00_Doc_Merge[[#This Row],[Lot]])=TBL_DATA_01_Lot_Info[Lot])*("Yes"=TBL_DATA_01_Lot_Info[Include?]), 0)), TBL_REF_01_Number[], 2, FALSE), INDEX(TBL_DATA_01_Lot_Info[ISFT_Min], MATCH(1, (IF(AND(REF_Lotted="Yes", REF_Doc_Lot="All"), "Lot_1", TBL_DATA_00_Doc_Merge[[#This Row],[Lot]])=TBL_DATA_01_Lot_Info[Lot])*("Yes"=TBL_DATA_01_Lot_Info[Include?]), 0))), "N/A")</f>
        <v/>
      </c>
      <c r="AW2" s="396" t="str">
        <f t="array" ref="AW2">IFERROR(IF(INDEX(TBL_DATA_01_Lot_Info[ISFT_Max], MATCH(1, (IF(AND(REF_Lotted="Yes", REF_Doc_Lot="All"), "Lot_1", TBL_DATA_00_Doc_Merge[[#This Row],[Lot]])=TBL_DATA_01_Lot_Info[Lot])*("Yes"=TBL_DATA_01_Lot_Info[Include?]), 0))&lt;=10, VLOOKUP(INDEX(TBL_DATA_01_Lot_Info[ISFT_Max], MATCH(1, (IF(AND(REF_Lotted="Yes", REF_Doc_Lot="All"), "Lot_1", TBL_DATA_00_Doc_Merge[[#This Row],[Lot]])=TBL_DATA_01_Lot_Info[Lot])*("Yes"=TBL_DATA_01_Lot_Info[Include?]), 0)), TBL_REF_01_Number[], 2, FALSE), INDEX(TBL_DATA_01_Lot_Info[ISFT_Max], MATCH(1, (IF(AND(REF_Lotted="Yes", REF_Doc_Lot="All"), "Lot_1", TBL_DATA_00_Doc_Merge[[#This Row],[Lot]])=TBL_DATA_01_Lot_Info[Lot])*("Yes"=TBL_DATA_01_Lot_Info[Include?]), 0))), "N/A")</f>
        <v/>
      </c>
      <c r="AX2" s="396" t="str">
        <f t="array" ref="AX2">IFERROR(IF(INDEX(TBL_DATA_01_Lot_Info[Cons_Min], MATCH(1, (IF(AND(REF_Lotted="Yes", REF_Doc_Lot="All"), "Lot_1", TBL_DATA_00_Doc_Merge[[#This Row],[Lot]])=TBL_DATA_01_Lot_Info[Lot])*("Yes"=TBL_DATA_01_Lot_Info[Include?]), 0))&lt;=10, VLOOKUP(INDEX(TBL_DATA_01_Lot_Info[Cons_Min], MATCH(1, (IF(AND(REF_Lotted="Yes", REF_Doc_Lot="All"), "Lot_1", TBL_DATA_00_Doc_Merge[[#This Row],[Lot]])=TBL_DATA_01_Lot_Info[Lot])*("Yes"=TBL_DATA_01_Lot_Info[Include?]), 0)), TBL_REF_01_Number[], 2, FALSE), INDEX(TBL_DATA_01_Lot_Info[Cons_Min], MATCH(1, (IF(AND(REF_Lotted="Yes", REF_Doc_Lot="All"), "Lot_1", TBL_DATA_00_Doc_Merge[[#This Row],[Lot]])=TBL_DATA_01_Lot_Info[Lot])*("Yes"=TBL_DATA_01_Lot_Info[Include?]), 0))), "N/A")</f>
        <v>four</v>
      </c>
      <c r="AY2" s="396" t="str">
        <f t="array" ref="AY2">IFERROR(IF(INDEX(TBL_DATA_01_Lot_Info[Cons_Max], MATCH(1, (IF(AND(REF_Lotted="Yes", REF_Doc_Lot="All"), "Lot_1", TBL_DATA_00_Doc_Merge[[#This Row],[Lot]])=TBL_DATA_01_Lot_Info[Lot])*("Yes"=TBL_DATA_01_Lot_Info[Include?]), 0))&lt;=10, VLOOKUP(INDEX(TBL_DATA_01_Lot_Info[Cons_Max], MATCH(1, (IF(AND(REF_Lotted="Yes", REF_Doc_Lot="All"), "Lot_1", TBL_DATA_00_Doc_Merge[[#This Row],[Lot]])=TBL_DATA_01_Lot_Info[Lot])*("Yes"=TBL_DATA_01_Lot_Info[Include?]), 0)), TBL_REF_01_Number[], 2, FALSE), INDEX(TBL_DATA_01_Lot_Info[Cons_Max], MATCH(1, (IF(AND(REF_Lotted="Yes", REF_Doc_Lot="All"), "Lot_1", TBL_DATA_00_Doc_Merge[[#This Row],[Lot]])=TBL_DATA_01_Lot_Info[Lot])*("Yes"=TBL_DATA_01_Lot_Info[Include?]), 0))), "N/A")</f>
        <v>four</v>
      </c>
      <c r="AZ2" s="396" t="str">
        <f t="array" ref="AZ2">IFERROR(INDEX(TBL_DATA_01_Lot_Info[Name], MATCH(1, ("Lot_2"=TBL_DATA_01_Lot_Info[Lot])*("Yes"=TBL_DATA_01_Lot_Info[Include?]), 0)), "N/A")</f>
        <v>N/A</v>
      </c>
      <c r="BA2" s="396" t="str">
        <f t="array" ref="BA2">IFERROR(INDEX(TBL_DATA_01_Lot_Info[Description], MATCH(1, ("Lot_2"=TBL_DATA_01_Lot_Info[Lot])*("Yes"=TBL_DATA_01_Lot_Info[Include?]), 0)), "N/A")</f>
        <v>N/A</v>
      </c>
      <c r="BB2" s="396" t="str">
        <f t="array" ref="BB2">IFERROR(INDEX(TBL_DATA_01_Lot_Info[Props_Approx], MATCH(1, ("Lot_2"=TBL_DATA_01_Lot_Info[Lot])*("Yes"=TBL_DATA_01_Lot_Info[Include?]), 0)), "N/A")</f>
        <v>N/A</v>
      </c>
      <c r="BC2" s="396" t="str">
        <f t="array" ref="BC2">IFERROR(INDEX(TBL_DATA_01_Lot_Info[Props_No], MATCH(1, ("Lot_2"=TBL_DATA_01_Lot_Info[Lot])*("Yes"=TBL_DATA_01_Lot_Info[Include?]), 0)), "N/A")</f>
        <v>N/A</v>
      </c>
      <c r="BD2" s="396" t="str">
        <f t="array" ref="BD2">IFERROR(INDEX(TBL_DATA_01_Lot_Info[Props_Type], MATCH(1, ("Lot_2"=TBL_DATA_01_Lot_Info[Lot])*("Yes"=TBL_DATA_01_Lot_Info[Include?]), 0)), "N/A")</f>
        <v>N/A</v>
      </c>
      <c r="BE2" s="396" t="str">
        <f t="array" ref="BE2">IFERROR(INDEX(TBL_DATA_01_Lot_Info[Value_type], MATCH(1, ("Lot_2"=TBL_DATA_01_Lot_Info[Lot])*("Yes"=TBL_DATA_01_Lot_Info[Include?]), 0)), "N/A")</f>
        <v>N/A</v>
      </c>
      <c r="BF2" s="396" t="str">
        <f t="array" ref="BF2">IFERROR(INDEX(TBL_DATA_01_Lot_Info[Value_Max], MATCH(1, ("Lot_2"=TBL_DATA_01_Lot_Info[Lot])*("Yes"=TBL_DATA_01_Lot_Info[Include?]), 0)), "N/A")</f>
        <v>N/A</v>
      </c>
      <c r="BG2" s="396" t="str">
        <f t="array" ref="BG2">IFERROR(INDEX(TBL_DATA_01_Lot_Info[Value_Min], MATCH(1, ("Lot_2"=TBL_DATA_01_Lot_Info[Lot])*("Yes"=TBL_DATA_01_Lot_Info[Include?]), 0)), "N/A")</f>
        <v>N/A</v>
      </c>
      <c r="BH2" s="396" t="str">
        <f t="array" ref="BH2">IFERROR(IF(INDEX(TBL_DATA_01_Lot_Info[ITT_Min], MATCH(1, ("Lot_2"=TBL_DATA_01_Lot_Info[Lot])*("Yes"=TBL_DATA_01_Lot_Info[Include?]), 0))&lt;=10, VLOOKUP(INDEX(TBL_DATA_01_Lot_Info[ITT_Min], MATCH(1, ("Lot_2"=TBL_DATA_01_Lot_Info[Lot])*("Yes"=TBL_DATA_01_Lot_Info[Include?]), 0)), TBL_REF_01_Number[], 2, FALSE), INDEX(TBL_DATA_01_Lot_Info[ITT_Min], MATCH(1, ("Lot_2"=TBL_DATA_01_Lot_Info[Lot])*("Yes"=TBL_DATA_01_Lot_Info[Include?]), 0))), "N/A")</f>
        <v>N/A</v>
      </c>
      <c r="BI2" s="396" t="str">
        <f t="array" ref="BI2">IFERROR(IF(INDEX(TBL_DATA_01_Lot_Info[ITT_Max], MATCH(1, ("Lot_2"=TBL_DATA_01_Lot_Info[Lot])*("Yes"=TBL_DATA_01_Lot_Info[Include?]), 0))&lt;=10, VLOOKUP(INDEX(TBL_DATA_01_Lot_Info[ITT_Max], MATCH(1, ("Lot_2"=TBL_DATA_01_Lot_Info[Lot])*("Yes"=TBL_DATA_01_Lot_Info[Include?]), 0)), TBL_REF_01_Number[], 2, FALSE), INDEX(TBL_DATA_01_Lot_Info[ITT_Max], MATCH(1, ("Lot_2"=TBL_DATA_01_Lot_Info[Lot])*("Yes"=TBL_DATA_01_Lot_Info[Include?]), 0))), "N/A")</f>
        <v>N/A</v>
      </c>
      <c r="BJ2" s="396" t="str">
        <f t="array" ref="BJ2">IFERROR(IF(INDEX(TBL_DATA_01_Lot_Info[Neg_Min], MATCH(1, ("Lot_2"=TBL_DATA_01_Lot_Info[Lot])*("Yes"=TBL_DATA_01_Lot_Info[Include?]), 0))&lt;=10, VLOOKUP(INDEX(TBL_DATA_01_Lot_Info[Neg_Min], MATCH(1, ("Lot_2"=TBL_DATA_01_Lot_Info[Lot])*("Yes"=TBL_DATA_01_Lot_Info[Include?]), 0)), TBL_REF_01_Number[], 2, FALSE), INDEX(TBL_DATA_01_Lot_Info[Neg_Min], MATCH(1, ("Lot_2"=TBL_DATA_01_Lot_Info[Lot])*("Yes"=TBL_DATA_01_Lot_Info[Include?]), 0))), "N/A")</f>
        <v>N/A</v>
      </c>
      <c r="BK2" s="396" t="str">
        <f t="array" ref="BK2">IFERROR(IF(INDEX(TBL_DATA_01_Lot_Info[Neg_Max], MATCH(1, ("Lot_2"=TBL_DATA_01_Lot_Info[Lot])*("Yes"=TBL_DATA_01_Lot_Info[Include?]), 0))&lt;=10, VLOOKUP(INDEX(TBL_DATA_01_Lot_Info[Neg_Max], MATCH(1, ("Lot_2"=TBL_DATA_01_Lot_Info[Lot])*("Yes"=TBL_DATA_01_Lot_Info[Include?]), 0)), TBL_REF_01_Number[], 2, FALSE), INDEX(TBL_DATA_01_Lot_Info[Neg_Max], MATCH(1, ("Lot_2"=TBL_DATA_01_Lot_Info[Lot])*("Yes"=TBL_DATA_01_Lot_Info[Include?]), 0))), "N/A")</f>
        <v>N/A</v>
      </c>
      <c r="BL2" s="396" t="str">
        <f t="array" ref="BL2">IFERROR(IF(INDEX(TBL_DATA_01_Lot_Info[ISFT_Min], MATCH(1, ("Lot_2"=TBL_DATA_01_Lot_Info[Lot])*("Yes"=TBL_DATA_01_Lot_Info[Include?]), 0))&lt;=10, VLOOKUP(INDEX(TBL_DATA_01_Lot_Info[ISFT_Min], MATCH(1, ("Lot_2"=TBL_DATA_01_Lot_Info[Lot])*("Yes"=TBL_DATA_01_Lot_Info[Include?]), 0)), TBL_REF_01_Number[], 2, FALSE), INDEX(TBL_DATA_01_Lot_Info[ISFT_Min], MATCH(1, ("Lot_2"=TBL_DATA_01_Lot_Info[Lot])*("Yes"=TBL_DATA_01_Lot_Info[Include?]), 0))), "N/A")</f>
        <v>N/A</v>
      </c>
      <c r="BM2" s="396" t="str">
        <f t="array" ref="BM2">IFERROR(IF(INDEX(TBL_DATA_01_Lot_Info[ISFT_Max], MATCH(1, ("Lot_2"=TBL_DATA_01_Lot_Info[Lot])*("Yes"=TBL_DATA_01_Lot_Info[Include?]), 0))&lt;=10, VLOOKUP(INDEX(TBL_DATA_01_Lot_Info[ISFT_Max], MATCH(1, ("Lot_2"=TBL_DATA_01_Lot_Info[Lot])*("Yes"=TBL_DATA_01_Lot_Info[Include?]), 0)), TBL_REF_01_Number[], 2, FALSE), INDEX(TBL_DATA_01_Lot_Info[ISFT_Max], MATCH(1, ("Lot_2"=TBL_DATA_01_Lot_Info[Lot])*("Yes"=TBL_DATA_01_Lot_Info[Include?]), 0))), "N/A")</f>
        <v>N/A</v>
      </c>
      <c r="BN2" s="396" t="str">
        <f t="array" ref="BN2">IFERROR(IF(INDEX(TBL_DATA_01_Lot_Info[Cons_Min], MATCH(1, ("Lot_2"=TBL_DATA_01_Lot_Info[Lot])*("Yes"=TBL_DATA_01_Lot_Info[Include?]), 0))&lt;=10, VLOOKUP(INDEX(TBL_DATA_01_Lot_Info[Cons_Min], MATCH(1, ("Lot_2"=TBL_DATA_01_Lot_Info[Lot])*("Yes"=TBL_DATA_01_Lot_Info[Include?]), 0)), TBL_REF_01_Number[], 2, FALSE), INDEX(TBL_DATA_01_Lot_Info[Cons_Min], MATCH(1, ("Lot_2"=TBL_DATA_01_Lot_Info[Lot])*("Yes"=TBL_DATA_01_Lot_Info[Include?]), 0))), "N/A")</f>
        <v>N/A</v>
      </c>
      <c r="BO2" s="396" t="str">
        <f t="array" ref="BO2">IFERROR(IF(INDEX(TBL_DATA_01_Lot_Info[Cons_Max], MATCH(1, ("Lot_2"=TBL_DATA_01_Lot_Info[Lot])*("Yes"=TBL_DATA_01_Lot_Info[Include?]), 0))&lt;=10, VLOOKUP(INDEX(TBL_DATA_01_Lot_Info[Cons_Max], MATCH(1, ("Lot_2"=TBL_DATA_01_Lot_Info[Lot])*("Yes"=TBL_DATA_01_Lot_Info[Include?]), 0)), TBL_REF_01_Number[], 2, FALSE), INDEX(TBL_DATA_01_Lot_Info[Cons_Max], MATCH(1, ("Lot_2"=TBL_DATA_01_Lot_Info[Lot])*("Yes"=TBL_DATA_01_Lot_Info[Include?]), 0))), "N/A")</f>
        <v>N/A</v>
      </c>
      <c r="BP2" s="396" t="str">
        <f t="array" ref="BP2">IFERROR(INDEX(TBL_DATA_01_Lot_Info[Name], MATCH(1, ("Lot_3"=TBL_DATA_01_Lot_Info[Lot])*("Yes"=TBL_DATA_01_Lot_Info[Include?]), 0)), "N/A")</f>
        <v>N/A</v>
      </c>
      <c r="BQ2" s="396" t="str">
        <f t="array" ref="BQ2">IFERROR(INDEX(TBL_DATA_01_Lot_Info[Description], MATCH(1, ("Lot_3"=TBL_DATA_01_Lot_Info[Lot])*("Yes"=TBL_DATA_01_Lot_Info[Include?]), 0)), "N/A")</f>
        <v>N/A</v>
      </c>
      <c r="BR2" s="396" t="str">
        <f t="array" ref="BR2">IFERROR(INDEX(TBL_DATA_01_Lot_Info[Props_Approx], MATCH(1, ("Lot_3"=TBL_DATA_01_Lot_Info[Lot])*("Yes"=TBL_DATA_01_Lot_Info[Include?]), 0)), "N/A")</f>
        <v>N/A</v>
      </c>
      <c r="BS2" s="396" t="str">
        <f t="array" ref="BS2">IFERROR(INDEX(TBL_DATA_01_Lot_Info[Props_No], MATCH(1, ("Lot_3"=TBL_DATA_01_Lot_Info[Lot])*("Yes"=TBL_DATA_01_Lot_Info[Include?]), 0)), "N/A")</f>
        <v>N/A</v>
      </c>
      <c r="BT2" s="396" t="str">
        <f t="array" ref="BT2">IFERROR(INDEX(TBL_DATA_01_Lot_Info[Props_Type], MATCH(1, ("Lot_3"=TBL_DATA_01_Lot_Info[Lot])*("Yes"=TBL_DATA_01_Lot_Info[Include?]), 0)), "N/A")</f>
        <v>N/A</v>
      </c>
      <c r="BU2" s="396" t="str">
        <f t="array" ref="BU2">IFERROR(INDEX(TBL_DATA_01_Lot_Info[Value_type], MATCH(1, ("Lot_3"=TBL_DATA_01_Lot_Info[Lot])*("Yes"=TBL_DATA_01_Lot_Info[Include?]), 0)), "N/A")</f>
        <v>N/A</v>
      </c>
      <c r="BV2" s="396" t="str">
        <f t="array" ref="BV2">IFERROR(INDEX(TBL_DATA_01_Lot_Info[Value_Max], MATCH(1, ("Lot_3"=TBL_DATA_01_Lot_Info[Lot])*("Yes"=TBL_DATA_01_Lot_Info[Include?]), 0)), "N/A")</f>
        <v>N/A</v>
      </c>
      <c r="BW2" s="396" t="str">
        <f t="array" ref="BW2">IFERROR(INDEX(TBL_DATA_01_Lot_Info[Value_Min], MATCH(1, ("Lot_3"=TBL_DATA_01_Lot_Info[Lot])*("Yes"=TBL_DATA_01_Lot_Info[Include?]), 0)), "N/A")</f>
        <v>N/A</v>
      </c>
      <c r="BX2" s="396" t="str">
        <f t="array" ref="BX2">IFERROR(IF(INDEX(TBL_DATA_01_Lot_Info[ITT_Min], MATCH(1, ("Lot_3"=TBL_DATA_01_Lot_Info[Lot])*("Yes"=TBL_DATA_01_Lot_Info[Include?]), 0))&lt;=10, VLOOKUP(INDEX(TBL_DATA_01_Lot_Info[ITT_Min], MATCH(1, ("Lot_3"=TBL_DATA_01_Lot_Info[Lot])*("Yes"=TBL_DATA_01_Lot_Info[Include?]), 0)), TBL_REF_01_Number[], 2, FALSE), INDEX(TBL_DATA_01_Lot_Info[ITT_Min], MATCH(1, ("Lot_3"=TBL_DATA_01_Lot_Info[Lot])*("Yes"=TBL_DATA_01_Lot_Info[Include?]), 0))), "N/A")</f>
        <v>N/A</v>
      </c>
      <c r="BY2" s="396" t="str">
        <f t="array" ref="BY2">IFERROR(IF(INDEX(TBL_DATA_01_Lot_Info[ITT_Max], MATCH(1, ("Lot_3"=TBL_DATA_01_Lot_Info[Lot])*("Yes"=TBL_DATA_01_Lot_Info[Include?]), 0))&lt;=10, VLOOKUP(INDEX(TBL_DATA_01_Lot_Info[ITT_Max], MATCH(1, ("Lot_3"=TBL_DATA_01_Lot_Info[Lot])*("Yes"=TBL_DATA_01_Lot_Info[Include?]), 0)), TBL_REF_01_Number[], 2, FALSE), INDEX(TBL_DATA_01_Lot_Info[ITT_Max], MATCH(1, ("Lot_3"=TBL_DATA_01_Lot_Info[Lot])*("Yes"=TBL_DATA_01_Lot_Info[Include?]), 0))), "N/A")</f>
        <v>N/A</v>
      </c>
      <c r="BZ2" s="396" t="str">
        <f t="array" ref="BZ2">IFERROR(IF(INDEX(TBL_DATA_01_Lot_Info[Neg_Min], MATCH(1, ("Lot_3"=TBL_DATA_01_Lot_Info[Lot])*("Yes"=TBL_DATA_01_Lot_Info[Include?]), 0))&lt;=10, VLOOKUP(INDEX(TBL_DATA_01_Lot_Info[Neg_Min], MATCH(1, ("Lot_3"=TBL_DATA_01_Lot_Info[Lot])*("Yes"=TBL_DATA_01_Lot_Info[Include?]), 0)), TBL_REF_01_Number[], 2, FALSE), INDEX(TBL_DATA_01_Lot_Info[Neg_Min], MATCH(1, ("Lot_3"=TBL_DATA_01_Lot_Info[Lot])*("Yes"=TBL_DATA_01_Lot_Info[Include?]), 0))), "N/A")</f>
        <v>N/A</v>
      </c>
      <c r="CA2" s="396" t="str">
        <f t="array" ref="CA2">IFERROR(IF(INDEX(TBL_DATA_01_Lot_Info[Neg_Max], MATCH(1, ("Lot_3"=TBL_DATA_01_Lot_Info[Lot])*("Yes"=TBL_DATA_01_Lot_Info[Include?]), 0))&lt;=10, VLOOKUP(INDEX(TBL_DATA_01_Lot_Info[Neg_Max], MATCH(1, ("Lot_3"=TBL_DATA_01_Lot_Info[Lot])*("Yes"=TBL_DATA_01_Lot_Info[Include?]), 0)), TBL_REF_01_Number[], 2, FALSE), INDEX(TBL_DATA_01_Lot_Info[Neg_Max], MATCH(1, ("Lot_3"=TBL_DATA_01_Lot_Info[Lot])*("Yes"=TBL_DATA_01_Lot_Info[Include?]), 0))), "N/A")</f>
        <v>N/A</v>
      </c>
      <c r="CB2" s="396" t="str">
        <f t="array" ref="CB2">IFERROR(IF(INDEX(TBL_DATA_01_Lot_Info[ISFT_Min], MATCH(1, ("Lot_3"=TBL_DATA_01_Lot_Info[Lot])*("Yes"=TBL_DATA_01_Lot_Info[Include?]), 0))&lt;=10, VLOOKUP(INDEX(TBL_DATA_01_Lot_Info[ISFT_Min], MATCH(1, ("Lot_3"=TBL_DATA_01_Lot_Info[Lot])*("Yes"=TBL_DATA_01_Lot_Info[Include?]), 0)), TBL_REF_01_Number[], 2, FALSE), INDEX(TBL_DATA_01_Lot_Info[ISFT_Min], MATCH(1, ("Lot_3"=TBL_DATA_01_Lot_Info[Lot])*("Yes"=TBL_DATA_01_Lot_Info[Include?]), 0))), "N/A")</f>
        <v>N/A</v>
      </c>
      <c r="CC2" s="396" t="str">
        <f t="array" ref="CC2">IFERROR(IF(INDEX(TBL_DATA_01_Lot_Info[ISFT_Max], MATCH(1, ("Lot_3"=TBL_DATA_01_Lot_Info[Lot])*("Yes"=TBL_DATA_01_Lot_Info[Include?]), 0))&lt;=10, VLOOKUP(INDEX(TBL_DATA_01_Lot_Info[ISFT_Max], MATCH(1, ("Lot_3"=TBL_DATA_01_Lot_Info[Lot])*("Yes"=TBL_DATA_01_Lot_Info[Include?]), 0)), TBL_REF_01_Number[], 2, FALSE), INDEX(TBL_DATA_01_Lot_Info[ISFT_Max], MATCH(1, ("Lot_3"=TBL_DATA_01_Lot_Info[Lot])*("Yes"=TBL_DATA_01_Lot_Info[Include?]), 0))), "N/A")</f>
        <v>N/A</v>
      </c>
      <c r="CD2" s="396" t="str">
        <f t="array" ref="CD2">IFERROR(IF(INDEX(TBL_DATA_01_Lot_Info[Cons_Min], MATCH(1, ("Lot_3"=TBL_DATA_01_Lot_Info[Lot])*("Yes"=TBL_DATA_01_Lot_Info[Include?]), 0))&lt;=10, VLOOKUP(INDEX(TBL_DATA_01_Lot_Info[Cons_Min], MATCH(1, ("Lot_3"=TBL_DATA_01_Lot_Info[Lot])*("Yes"=TBL_DATA_01_Lot_Info[Include?]), 0)), TBL_REF_01_Number[], 2, FALSE), INDEX(TBL_DATA_01_Lot_Info[Cons_Min], MATCH(1, ("Lot_3"=TBL_DATA_01_Lot_Info[Lot])*("Yes"=TBL_DATA_01_Lot_Info[Include?]), 0))), "N/A")</f>
        <v>N/A</v>
      </c>
      <c r="CE2" s="396" t="str">
        <f t="array" ref="CE2">IFERROR(IF(INDEX(TBL_DATA_01_Lot_Info[Cons_Max], MATCH(1, ("Lot_3"=TBL_DATA_01_Lot_Info[Lot])*("Yes"=TBL_DATA_01_Lot_Info[Include?]), 0))&lt;=10, VLOOKUP(INDEX(TBL_DATA_01_Lot_Info[Cons_Max], MATCH(1, ("Lot_3"=TBL_DATA_01_Lot_Info[Lot])*("Yes"=TBL_DATA_01_Lot_Info[Include?]), 0)), TBL_REF_01_Number[], 2, FALSE), INDEX(TBL_DATA_01_Lot_Info[Cons_Max], MATCH(1, ("Lot_3"=TBL_DATA_01_Lot_Info[Lot])*("Yes"=TBL_DATA_01_Lot_Info[Include?]), 0))), "N/A")</f>
        <v>N/A</v>
      </c>
      <c r="CF2" s="396" t="str">
        <f t="array" ref="CF2">IFERROR(INDEX(TBL_DATA_01_Lot_Info[Name], MATCH(1, ("Lot_4"=TBL_DATA_01_Lot_Info[Lot])*("Yes"=TBL_DATA_01_Lot_Info[Include?]), 0)), "N/A")</f>
        <v>N/A</v>
      </c>
      <c r="CG2" s="396" t="str">
        <f t="array" ref="CG2">IFERROR(INDEX(TBL_DATA_01_Lot_Info[Description], MATCH(1, ("Lot_4"=TBL_DATA_01_Lot_Info[Lot])*("Yes"=TBL_DATA_01_Lot_Info[Include?]), 0)), "N/A")</f>
        <v>N/A</v>
      </c>
      <c r="CH2" s="396" t="str">
        <f t="array" ref="CH2">IFERROR(INDEX(TBL_DATA_01_Lot_Info[Props_Approx], MATCH(1, ("Lot_4"=TBL_DATA_01_Lot_Info[Lot])*("Yes"=TBL_DATA_01_Lot_Info[Include?]), 0)), "N/A")</f>
        <v>N/A</v>
      </c>
      <c r="CI2" s="396" t="str">
        <f t="array" ref="CI2">IFERROR(INDEX(TBL_DATA_01_Lot_Info[Props_No], MATCH(1, ("Lot_4"=TBL_DATA_01_Lot_Info[Lot])*("Yes"=TBL_DATA_01_Lot_Info[Include?]), 0)), "N/A")</f>
        <v>N/A</v>
      </c>
      <c r="CJ2" s="396" t="str">
        <f t="array" ref="CJ2">IFERROR(INDEX(TBL_DATA_01_Lot_Info[Props_Type], MATCH(1, ("Lot_4"=TBL_DATA_01_Lot_Info[Lot])*("Yes"=TBL_DATA_01_Lot_Info[Include?]), 0)), "N/A")</f>
        <v>N/A</v>
      </c>
      <c r="CK2" s="396" t="str">
        <f t="array" ref="CK2">IFERROR(INDEX(TBL_DATA_01_Lot_Info[Value_type], MATCH(1, ("Lot_4"=TBL_DATA_01_Lot_Info[Lot])*("Yes"=TBL_DATA_01_Lot_Info[Include?]), 0)), "N/A")</f>
        <v>N/A</v>
      </c>
      <c r="CL2" s="396" t="str">
        <f t="array" ref="CL2">IFERROR(INDEX(TBL_DATA_01_Lot_Info[Value_Max], MATCH(1, ("Lot_4"=TBL_DATA_01_Lot_Info[Lot])*("Yes"=TBL_DATA_01_Lot_Info[Include?]), 0)), "N/A")</f>
        <v>N/A</v>
      </c>
      <c r="CM2" s="396" t="str">
        <f t="array" ref="CM2">IFERROR(INDEX(TBL_DATA_01_Lot_Info[Value_Min], MATCH(1, ("Lot_4"=TBL_DATA_01_Lot_Info[Lot])*("Yes"=TBL_DATA_01_Lot_Info[Include?]), 0)), "N/A")</f>
        <v>N/A</v>
      </c>
      <c r="CN2" s="396" t="str">
        <f t="array" ref="CN2">IFERROR(IF(INDEX(TBL_DATA_01_Lot_Info[ITT_Min], MATCH(1, ("Lot_4"=TBL_DATA_01_Lot_Info[Lot])*("Yes"=TBL_DATA_01_Lot_Info[Include?]), 0))&lt;=10, VLOOKUP(INDEX(TBL_DATA_01_Lot_Info[ITT_Min], MATCH(1, ("Lot_4"=TBL_DATA_01_Lot_Info[Lot])*("Yes"=TBL_DATA_01_Lot_Info[Include?]), 0)), TBL_REF_01_Number[], 2, FALSE), INDEX(TBL_DATA_01_Lot_Info[ITT_Min], MATCH(1, ("Lot_4"=TBL_DATA_01_Lot_Info[Lot])*("Yes"=TBL_DATA_01_Lot_Info[Include?]), 0))), "N/A")</f>
        <v>N/A</v>
      </c>
      <c r="CO2" s="396" t="str">
        <f t="array" ref="CO2">IFERROR(IF(INDEX(TBL_DATA_01_Lot_Info[ITT_Max], MATCH(1, ("Lot_4"=TBL_DATA_01_Lot_Info[Lot])*("Yes"=TBL_DATA_01_Lot_Info[Include?]), 0))&lt;=10, VLOOKUP(INDEX(TBL_DATA_01_Lot_Info[ITT_Max], MATCH(1, ("Lot_4"=TBL_DATA_01_Lot_Info[Lot])*("Yes"=TBL_DATA_01_Lot_Info[Include?]), 0)), TBL_REF_01_Number[], 2, FALSE), INDEX(TBL_DATA_01_Lot_Info[ITT_Max], MATCH(1, ("Lot_4"=TBL_DATA_01_Lot_Info[Lot])*("Yes"=TBL_DATA_01_Lot_Info[Include?]), 0))), "N/A")</f>
        <v>N/A</v>
      </c>
      <c r="CP2" s="396" t="str">
        <f t="array" ref="CP2">IFERROR(IF(INDEX(TBL_DATA_01_Lot_Info[Neg_Min], MATCH(1, ("Lot_4"=TBL_DATA_01_Lot_Info[Lot])*("Yes"=TBL_DATA_01_Lot_Info[Include?]), 0))&lt;=10, VLOOKUP(INDEX(TBL_DATA_01_Lot_Info[Neg_Min], MATCH(1, ("Lot_4"=TBL_DATA_01_Lot_Info[Lot])*("Yes"=TBL_DATA_01_Lot_Info[Include?]), 0)), TBL_REF_01_Number[], 2, FALSE), INDEX(TBL_DATA_01_Lot_Info[Neg_Min], MATCH(1, ("Lot_4"=TBL_DATA_01_Lot_Info[Lot])*("Yes"=TBL_DATA_01_Lot_Info[Include?]), 0))), "N/A")</f>
        <v>N/A</v>
      </c>
      <c r="CQ2" s="396" t="str">
        <f t="array" ref="CQ2">IFERROR(IF(INDEX(TBL_DATA_01_Lot_Info[Neg_Max], MATCH(1, ("Lot_4"=TBL_DATA_01_Lot_Info[Lot])*("Yes"=TBL_DATA_01_Lot_Info[Include?]), 0))&lt;=10, VLOOKUP(INDEX(TBL_DATA_01_Lot_Info[Neg_Max], MATCH(1, ("Lot_4"=TBL_DATA_01_Lot_Info[Lot])*("Yes"=TBL_DATA_01_Lot_Info[Include?]), 0)), TBL_REF_01_Number[], 2, FALSE), INDEX(TBL_DATA_01_Lot_Info[Neg_Max], MATCH(1, ("Lot_4"=TBL_DATA_01_Lot_Info[Lot])*("Yes"=TBL_DATA_01_Lot_Info[Include?]), 0))), "N/A")</f>
        <v>N/A</v>
      </c>
      <c r="CR2" s="396" t="str">
        <f t="array" ref="CR2">IFERROR(IF(INDEX(TBL_DATA_01_Lot_Info[ISFT_Min], MATCH(1, ("Lot_4"=TBL_DATA_01_Lot_Info[Lot])*("Yes"=TBL_DATA_01_Lot_Info[Include?]), 0))&lt;=10, VLOOKUP(INDEX(TBL_DATA_01_Lot_Info[ISFT_Min], MATCH(1, ("Lot_4"=TBL_DATA_01_Lot_Info[Lot])*("Yes"=TBL_DATA_01_Lot_Info[Include?]), 0)), TBL_REF_01_Number[], 2, FALSE), INDEX(TBL_DATA_01_Lot_Info[ISFT_Min], MATCH(1, ("Lot_4"=TBL_DATA_01_Lot_Info[Lot])*("Yes"=TBL_DATA_01_Lot_Info[Include?]), 0))), "N/A")</f>
        <v>N/A</v>
      </c>
      <c r="CS2" s="396" t="str">
        <f t="array" ref="CS2">IFERROR(IF(INDEX(TBL_DATA_01_Lot_Info[ISFT_Max], MATCH(1, ("Lot_4"=TBL_DATA_01_Lot_Info[Lot])*("Yes"=TBL_DATA_01_Lot_Info[Include?]), 0))&lt;=10, VLOOKUP(INDEX(TBL_DATA_01_Lot_Info[ISFT_Max], MATCH(1, ("Lot_4"=TBL_DATA_01_Lot_Info[Lot])*("Yes"=TBL_DATA_01_Lot_Info[Include?]), 0)), TBL_REF_01_Number[], 2, FALSE), INDEX(TBL_DATA_01_Lot_Info[ISFT_Max], MATCH(1, ("Lot_4"=TBL_DATA_01_Lot_Info[Lot])*("Yes"=TBL_DATA_01_Lot_Info[Include?]), 0))), "N/A")</f>
        <v>N/A</v>
      </c>
      <c r="CT2" s="396" t="str">
        <f t="array" ref="CT2">IFERROR(IF(INDEX(TBL_DATA_01_Lot_Info[Cons_Min], MATCH(1, ("Lot_4"=TBL_DATA_01_Lot_Info[Lot])*("Yes"=TBL_DATA_01_Lot_Info[Include?]), 0))&lt;=10, VLOOKUP(INDEX(TBL_DATA_01_Lot_Info[Cons_Min], MATCH(1, ("Lot_4"=TBL_DATA_01_Lot_Info[Lot])*("Yes"=TBL_DATA_01_Lot_Info[Include?]), 0)), TBL_REF_01_Number[], 2, FALSE), INDEX(TBL_DATA_01_Lot_Info[Cons_Min], MATCH(1, ("Lot_4"=TBL_DATA_01_Lot_Info[Lot])*("Yes"=TBL_DATA_01_Lot_Info[Include?]), 0))), "N/A")</f>
        <v>N/A</v>
      </c>
      <c r="CU2" s="396" t="str">
        <f t="array" ref="CU2">IFERROR(IF(INDEX(TBL_DATA_01_Lot_Info[Cons_Max], MATCH(1, ("Lot_4"=TBL_DATA_01_Lot_Info[Lot])*("Yes"=TBL_DATA_01_Lot_Info[Include?]), 0))&lt;=10, VLOOKUP(INDEX(TBL_DATA_01_Lot_Info[Cons_Max], MATCH(1, ("Lot_4"=TBL_DATA_01_Lot_Info[Lot])*("Yes"=TBL_DATA_01_Lot_Info[Include?]), 0)), TBL_REF_01_Number[], 2, FALSE), INDEX(TBL_DATA_01_Lot_Info[Cons_Max], MATCH(1, ("Lot_4"=TBL_DATA_01_Lot_Info[Lot])*("Yes"=TBL_DATA_01_Lot_Info[Include?]), 0))), "N/A")</f>
        <v>N/A</v>
      </c>
      <c r="CV2" s="396" t="str">
        <f t="array" ref="CV2">IFERROR(INDEX(TBL_DATA_01_Lot_Info[Name], MATCH(1, ("Lot_5"=TBL_DATA_01_Lot_Info[Lot])*("Yes"=TBL_DATA_01_Lot_Info[Include?]), 0)), "N/A")</f>
        <v>N/A</v>
      </c>
      <c r="CW2" s="396" t="str">
        <f t="array" ref="CW2">IFERROR(INDEX(TBL_DATA_01_Lot_Info[Description], MATCH(1, ("Lot_5"=TBL_DATA_01_Lot_Info[Lot])*("Yes"=TBL_DATA_01_Lot_Info[Include?]), 0)), "N/A")</f>
        <v>N/A</v>
      </c>
      <c r="CX2" s="396" t="str">
        <f t="array" ref="CX2">IFERROR(INDEX(TBL_DATA_01_Lot_Info[Props_Approx], MATCH(1, ("Lot_5"=TBL_DATA_01_Lot_Info[Lot])*("Yes"=TBL_DATA_01_Lot_Info[Include?]), 0)), "N/A")</f>
        <v>N/A</v>
      </c>
      <c r="CY2" s="396" t="str">
        <f t="array" ref="CY2">IFERROR(INDEX(TBL_DATA_01_Lot_Info[Props_No], MATCH(1, ("Lot_5"=TBL_DATA_01_Lot_Info[Lot])*("Yes"=TBL_DATA_01_Lot_Info[Include?]), 0)), "N/A")</f>
        <v>N/A</v>
      </c>
      <c r="CZ2" s="396" t="str">
        <f t="array" ref="CZ2">IFERROR(INDEX(TBL_DATA_01_Lot_Info[Props_Type], MATCH(1, ("Lot_5"=TBL_DATA_01_Lot_Info[Lot])*("Yes"=TBL_DATA_01_Lot_Info[Include?]), 0)), "N/A")</f>
        <v>N/A</v>
      </c>
      <c r="DA2" s="396" t="str">
        <f t="array" ref="DA2">IFERROR(INDEX(TBL_DATA_01_Lot_Info[Value_type], MATCH(1, ("Lot_5"=TBL_DATA_01_Lot_Info[Lot])*("Yes"=TBL_DATA_01_Lot_Info[Include?]), 0)), "N/A")</f>
        <v>N/A</v>
      </c>
      <c r="DB2" s="396" t="str">
        <f t="array" ref="DB2">IFERROR(INDEX(TBL_DATA_01_Lot_Info[Value_Max], MATCH(1, ("Lot_5"=TBL_DATA_01_Lot_Info[Lot])*("Yes"=TBL_DATA_01_Lot_Info[Include?]), 0)), "N/A")</f>
        <v>N/A</v>
      </c>
      <c r="DC2" s="396" t="str">
        <f t="array" ref="DC2">IFERROR(INDEX(TBL_DATA_01_Lot_Info[Value_Min], MATCH(1, ("Lot_5"=TBL_DATA_01_Lot_Info[Lot])*("Yes"=TBL_DATA_01_Lot_Info[Include?]), 0)), "N/A")</f>
        <v>N/A</v>
      </c>
      <c r="DD2" s="396" t="str">
        <f t="array" ref="DD2">IFERROR(IF(INDEX(TBL_DATA_01_Lot_Info[ITT_Min], MATCH(1, ("Lot_5"=TBL_DATA_01_Lot_Info[Lot])*("Yes"=TBL_DATA_01_Lot_Info[Include?]), 0))&lt;=10, VLOOKUP(INDEX(TBL_DATA_01_Lot_Info[ITT_Min], MATCH(1, ("Lot_5"=TBL_DATA_01_Lot_Info[Lot])*("Yes"=TBL_DATA_01_Lot_Info[Include?]), 0)), TBL_REF_01_Number[], 2, FALSE), INDEX(TBL_DATA_01_Lot_Info[ITT_Min], MATCH(1, ("Lot_5"=TBL_DATA_01_Lot_Info[Lot])*("Yes"=TBL_DATA_01_Lot_Info[Include?]), 0))), "N/A")</f>
        <v>N/A</v>
      </c>
      <c r="DE2" s="396" t="str">
        <f t="array" ref="DE2">IFERROR(IF(INDEX(TBL_DATA_01_Lot_Info[ITT_Max], MATCH(1, ("Lot_5"=TBL_DATA_01_Lot_Info[Lot])*("Yes"=TBL_DATA_01_Lot_Info[Include?]), 0))&lt;=10, VLOOKUP(INDEX(TBL_DATA_01_Lot_Info[ITT_Max], MATCH(1, ("Lot_5"=TBL_DATA_01_Lot_Info[Lot])*("Yes"=TBL_DATA_01_Lot_Info[Include?]), 0)), TBL_REF_01_Number[], 2, FALSE), INDEX(TBL_DATA_01_Lot_Info[ITT_Max], MATCH(1, ("Lot_5"=TBL_DATA_01_Lot_Info[Lot])*("Yes"=TBL_DATA_01_Lot_Info[Include?]), 0))), "N/A")</f>
        <v>N/A</v>
      </c>
      <c r="DF2" s="396" t="str">
        <f t="array" ref="DF2">IFERROR(IF(INDEX(TBL_DATA_01_Lot_Info[Neg_Min], MATCH(1, ("Lot_5"=TBL_DATA_01_Lot_Info[Lot])*("Yes"=TBL_DATA_01_Lot_Info[Include?]), 0))&lt;=10, VLOOKUP(INDEX(TBL_DATA_01_Lot_Info[Neg_Min], MATCH(1, ("Lot_5"=TBL_DATA_01_Lot_Info[Lot])*("Yes"=TBL_DATA_01_Lot_Info[Include?]), 0)), TBL_REF_01_Number[], 2, FALSE), INDEX(TBL_DATA_01_Lot_Info[Neg_Min], MATCH(1, ("Lot_5"=TBL_DATA_01_Lot_Info[Lot])*("Yes"=TBL_DATA_01_Lot_Info[Include?]), 0))), "N/A")</f>
        <v>N/A</v>
      </c>
      <c r="DG2" s="396" t="str">
        <f t="array" ref="DG2">IFERROR(IF(INDEX(TBL_DATA_01_Lot_Info[Neg_Max], MATCH(1, ("Lot_5"=TBL_DATA_01_Lot_Info[Lot])*("Yes"=TBL_DATA_01_Lot_Info[Include?]), 0))&lt;=10, VLOOKUP(INDEX(TBL_DATA_01_Lot_Info[Neg_Max], MATCH(1, ("Lot_5"=TBL_DATA_01_Lot_Info[Lot])*("Yes"=TBL_DATA_01_Lot_Info[Include?]), 0)), TBL_REF_01_Number[], 2, FALSE), INDEX(TBL_DATA_01_Lot_Info[Neg_Max], MATCH(1, ("Lot_5"=TBL_DATA_01_Lot_Info[Lot])*("Yes"=TBL_DATA_01_Lot_Info[Include?]), 0))), "N/A")</f>
        <v>N/A</v>
      </c>
      <c r="DH2" s="396" t="str">
        <f t="array" ref="DH2">IFERROR(IF(INDEX(TBL_DATA_01_Lot_Info[ISFT_Min], MATCH(1, ("Lot_5"=TBL_DATA_01_Lot_Info[Lot])*("Yes"=TBL_DATA_01_Lot_Info[Include?]), 0))&lt;=10, VLOOKUP(INDEX(TBL_DATA_01_Lot_Info[ISFT_Min], MATCH(1, ("Lot_5"=TBL_DATA_01_Lot_Info[Lot])*("Yes"=TBL_DATA_01_Lot_Info[Include?]), 0)), TBL_REF_01_Number[], 2, FALSE), INDEX(TBL_DATA_01_Lot_Info[ISFT_Min], MATCH(1, ("Lot_5"=TBL_DATA_01_Lot_Info[Lot])*("Yes"=TBL_DATA_01_Lot_Info[Include?]), 0))), "N/A")</f>
        <v>N/A</v>
      </c>
      <c r="DI2" s="396" t="str">
        <f t="array" ref="DI2">IFERROR(IF(INDEX(TBL_DATA_01_Lot_Info[ISFT_Max], MATCH(1, ("Lot_5"=TBL_DATA_01_Lot_Info[Lot])*("Yes"=TBL_DATA_01_Lot_Info[Include?]), 0))&lt;=10, VLOOKUP(INDEX(TBL_DATA_01_Lot_Info[ISFT_Max], MATCH(1, ("Lot_5"=TBL_DATA_01_Lot_Info[Lot])*("Yes"=TBL_DATA_01_Lot_Info[Include?]), 0)), TBL_REF_01_Number[], 2, FALSE), INDEX(TBL_DATA_01_Lot_Info[ISFT_Max], MATCH(1, ("Lot_5"=TBL_DATA_01_Lot_Info[Lot])*("Yes"=TBL_DATA_01_Lot_Info[Include?]), 0))), "N/A")</f>
        <v>N/A</v>
      </c>
      <c r="DJ2" s="396" t="str">
        <f t="array" ref="DJ2">IFERROR(IF(INDEX(TBL_DATA_01_Lot_Info[Cons_Min], MATCH(1, ("Lot_5"=TBL_DATA_01_Lot_Info[Lot])*("Yes"=TBL_DATA_01_Lot_Info[Include?]), 0))&lt;=10, VLOOKUP(INDEX(TBL_DATA_01_Lot_Info[Cons_Min], MATCH(1, ("Lot_5"=TBL_DATA_01_Lot_Info[Lot])*("Yes"=TBL_DATA_01_Lot_Info[Include?]), 0)), TBL_REF_01_Number[], 2, FALSE), INDEX(TBL_DATA_01_Lot_Info[Cons_Min], MATCH(1, ("Lot_5"=TBL_DATA_01_Lot_Info[Lot])*("Yes"=TBL_DATA_01_Lot_Info[Include?]), 0))), "N/A")</f>
        <v>N/A</v>
      </c>
      <c r="DK2" s="396" t="str">
        <f t="array" ref="DK2">IFERROR(IF(INDEX(TBL_DATA_01_Lot_Info[Cons_Max], MATCH(1, ("Lot_5"=TBL_DATA_01_Lot_Info[Lot])*("Yes"=TBL_DATA_01_Lot_Info[Include?]), 0))&lt;=10, VLOOKUP(INDEX(TBL_DATA_01_Lot_Info[Cons_Max], MATCH(1, ("Lot_5"=TBL_DATA_01_Lot_Info[Lot])*("Yes"=TBL_DATA_01_Lot_Info[Include?]), 0)), TBL_REF_01_Number[], 2, FALSE), INDEX(TBL_DATA_01_Lot_Info[Cons_Max], MATCH(1, ("Lot_5"=TBL_DATA_01_Lot_Info[Lot])*("Yes"=TBL_DATA_01_Lot_Info[Include?]), 0))), "N/A")</f>
        <v>N/A</v>
      </c>
      <c r="DL2" s="396" t="str">
        <f>IF(TBL_DATA_00_Doc_Merge[[#This Row],[Doc_Type]]="Selection", "Candidate", IF(TBL_DATA_00_Doc_Merge[[#This Row],[Doc_Type]]="Open", "Supplier", "Tenderer"))</f>
        <v>Supplier</v>
      </c>
      <c r="DM2" s="396" t="str">
        <f>TEXT(Dates!$H$50, "MMMM, YYYY")</f>
        <v>January, 1900</v>
      </c>
      <c r="DN2" s="396" t="str">
        <f t="array" ref="DN2">IFERROR(INDEX(TBL_ADD_02_Project_Info[Response], MATCH(1, ("All"=TBL_ADD_02_Project_Info[Lot])*("Value_type"=TBL_ADD_02_Project_Info[Ref]), 0)), "N/A")</f>
        <v>Single figure</v>
      </c>
      <c r="DO2" s="396" t="str">
        <f t="array" ref="DO2">IFERROR(TEXT(INDEX(TBL_ADD_02_Project_Info[Response], MATCH(1, ("All"=TBL_ADD_02_Project_Info[Lot])*("Value_Max"=TBL_ADD_02_Project_Info[Ref]), 0)), "£ #,###.00"), "N/A")</f>
        <v>£ 56,000,000.00</v>
      </c>
      <c r="DP2" s="396" t="str">
        <f t="array" ref="DP2">IFERROR(TEXT(INDEX(TBL_ADD_02_Project_Info[Response], MATCH(1, ("All"=TBL_ADD_02_Project_Info[Lot])*("Value_Min"=TBL_ADD_02_Project_Info[Ref]), 0)), "£ #,###.00"), "N/A")</f>
        <v>£ .00</v>
      </c>
      <c r="DQ2" s="396" t="str">
        <f>IF('Project Info'!$K$56&gt;=11, 'Project Info'!$K$56, VLOOKUP('Project Info'!$K$56, TBL_REF_01_Number[], 2, FALSE))</f>
        <v>four</v>
      </c>
      <c r="DR2" s="360" t="str">
        <f>IF('Project Info'!$K$57&gt;=11, 'Project Info'!$K$57, VLOOKUP('Project Info'!$K$57, TBL_REF_01_Number[], 2, FALSE))</f>
        <v>four</v>
      </c>
      <c r="DS2" s="360" t="str">
        <f>IF('Project Info'!$K$38="Other (please provide info)", 'Project Info'!$L$38, 'Project Info'!$K$39)</f>
        <v>JCT Measured Term Contract (2016) published by The Joint Contracts Tribunal (JCT)</v>
      </c>
      <c r="DT2" s="360" t="str">
        <f>'Project Info'!$K$41</f>
        <v>Contract Administrator</v>
      </c>
      <c r="DU2" s="360" t="str">
        <f>'Project Info'!$L$41</f>
        <v>CA</v>
      </c>
      <c r="DV2" s="360" t="str">
        <f>SUBSTITUTE('Project Info'!$K$48, "s", "")</f>
        <v>year</v>
      </c>
      <c r="DW2" s="360" t="str">
        <f>IF('Project Info'!$K$49&gt;10, 'Project Info'!$K$49, VLOOKUP('Project Info'!$K$49, TBL_REF_01_Number[], 2, FALSE))&amp;" "&amp;IF('Project Info'!$K$49&gt;1, TBL_DATA_00_Doc_Merge[[#This Row],[Duration_type]]&amp;"s", TBL_DATA_00_Doc_Merge[[#This Row],[Duration_type]])</f>
        <v>four years</v>
      </c>
      <c r="DX2" s="360" t="str">
        <f>IF('Project Info'!$K$50&gt;10, 'Project Info'!$K$50, VLOOKUP('Project Info'!$K$50, TBL_REF_01_Number[], 2, FALSE))&amp;" "&amp;IF('Project Info'!$K$50&gt;1, TBL_DATA_00_Doc_Merge[[#This Row],[Duration_type]]&amp;"s", TBL_DATA_00_Doc_Merge[[#This Row],[Duration_type]])</f>
        <v>seven years</v>
      </c>
      <c r="DY2" s="360" t="str">
        <f>IF('Project Info'!$K$50='Project Info'!$K$49, "N/A", IF('Project Info'!$K$50-'Project Info'!$K$49&gt;10, 'Project Info'!$K$50-'Project Info'!$K$49&amp;" "&amp;TBL_DATA_00_Doc_Merge[[#This Row],[Duration_type]]&amp;"s", VLOOKUP('Project Info'!$K$50-'Project Info'!$K$49, TBL_REF_01_Number[], 2, FALSE))&amp;" "&amp;IF('Project Info'!$K$50-'Project Info'!$K$49&gt;1, TBL_DATA_00_Doc_Merge[[#This Row],[Duration_type]]&amp;"s", TBL_DATA_00_Doc_Merge[[#This Row],[Duration_type]]))</f>
        <v>three years</v>
      </c>
      <c r="DZ2" s="360" t="str">
        <f>'Project Info'!$K$34</f>
        <v>approximately</v>
      </c>
      <c r="EA2" s="393">
        <f>IF('Project Info'!$K$33&gt;10, 'Project Info'!$K$33, VLOOKUP('Project Info'!$K$33, TBL_REF_01_Number[], 2, FALSE))</f>
        <v>20500</v>
      </c>
      <c r="EB2" s="392" t="str">
        <f>'Project Info'!$K$32</f>
        <v>properties</v>
      </c>
      <c r="EC2" s="392" t="str">
        <f t="shared" ref="EC2:EC7" si="3">REF_Leaseholders</f>
        <v>Yes</v>
      </c>
      <c r="ED2" s="392">
        <f t="shared" ref="ED2:ED7" si="4">REF_Split_Price</f>
        <v>50</v>
      </c>
      <c r="EE2" s="392">
        <f t="shared" ref="EE2:EE7" si="5">REF_Split_Tech</f>
        <v>50</v>
      </c>
      <c r="EF2" s="360" t="str">
        <f t="shared" ref="EF2:EF7" si="6">REF_Int_or_SV</f>
        <v>Not applicable</v>
      </c>
      <c r="EG2" s="396">
        <f t="shared" ref="EG2:EG7" si="7">REF_marks</f>
        <v>5</v>
      </c>
      <c r="EH2" s="396" t="str">
        <f t="shared" ref="EH2:EH7" si="8">REF_Select_Include</f>
        <v>Yes</v>
      </c>
      <c r="EI2" s="396">
        <f t="shared" ref="EI2:EI7" si="9">REF_CCS_Q</f>
        <v>0</v>
      </c>
      <c r="EJ2" s="396">
        <f t="shared" ref="EJ2:EJ7" si="10">REF_Select_1_Qs</f>
        <v>0</v>
      </c>
      <c r="EK2" s="396">
        <f t="shared" ref="EK2:EK7" si="11">REF_Select_1_Response</f>
        <v>0</v>
      </c>
      <c r="EL2" s="396" t="str">
        <f t="shared" ref="EL2:EL7" si="12">REF_Select_Weighted</f>
        <v>No</v>
      </c>
      <c r="EM2" s="396" t="str">
        <f t="shared" ref="EM2:EM7" si="13">REF_Select_Marking</f>
        <v>Consensus</v>
      </c>
      <c r="EN2" s="396" t="str">
        <f t="shared" ref="EN2:EN7" si="14">REF_Select_Fail</f>
        <v>No</v>
      </c>
      <c r="EO2" s="392">
        <f t="shared" ref="EO2:EO7" si="15">REF_Tech_1_Qs</f>
        <v>0</v>
      </c>
      <c r="EP2" s="365">
        <f t="shared" ref="EP2:EP7" si="16">REF_Tech_1_Response</f>
        <v>0</v>
      </c>
      <c r="EQ2" s="392" t="str">
        <f t="shared" ref="EQ2:EQ7" si="17">REF_Tech_Weighted</f>
        <v>Yes</v>
      </c>
      <c r="ER2" s="392">
        <f t="shared" ref="ER2:ER7" si="18">REF_Tech_Weighting</f>
        <v>50</v>
      </c>
      <c r="ES2" s="392" t="str">
        <f t="shared" ref="ES2:ES7" si="19">REF_Tech_Marking</f>
        <v>Consensus</v>
      </c>
      <c r="ET2" s="392" t="str">
        <f t="shared" ref="ET2:ET7" si="20">REF_Tech_Fail</f>
        <v>Yes</v>
      </c>
      <c r="EU2" s="392">
        <f t="shared" ref="EU2:EU7" si="21">REF_IntSV_1_Qs</f>
        <v>0</v>
      </c>
      <c r="EV2" s="392">
        <f t="shared" ref="EV2:EV7" si="22">REF_IntSV_Weighted</f>
        <v>0</v>
      </c>
      <c r="EW2" s="392">
        <f t="shared" ref="EW2:EW7" si="23">REF_IntSV_Weighting</f>
        <v>0</v>
      </c>
      <c r="EX2" s="392">
        <f t="shared" ref="EX2:EX7" si="24">REF_IntSV_Marking</f>
        <v>0</v>
      </c>
      <c r="EY2" s="392">
        <f t="shared" ref="EY2:EY7" si="25">REF_IntSV_Fail</f>
        <v>0</v>
      </c>
      <c r="EZ2" s="396">
        <f t="shared" ref="EZ2:EZ7" si="26">REF_Limit_wins</f>
        <v>0</v>
      </c>
      <c r="FA2" s="396" t="str">
        <f>IF('Project Info'!$K$86&gt;11, 'Project Info'!$K$86, VLOOKUP('Project Info'!$K$86, TBL_REF_01_Number[], 2, FALSE))</f>
        <v>zero</v>
      </c>
      <c r="FB2" s="396" t="str">
        <f>IF('Project Info'!$K$87&gt;11, 'Project Info'!$K$87, VLOOKUP('Project Info'!$K$87, TBL_REF_01_Number[], 2, FALSE))</f>
        <v>zero</v>
      </c>
      <c r="FC2" s="396" t="str">
        <f>IF('Project Info'!$K$89&gt;11, 'Project Info'!$K$89, VLOOKUP('Project Info'!$K$89, TBL_REF_01_Number[], 2, FALSE))</f>
        <v>zero</v>
      </c>
      <c r="FD2" s="396" t="str">
        <f>IF('Project Info'!$K$90&gt;11, 'Project Info'!$K$90, VLOOKUP('Project Info'!$K$90, TBL_REF_01_Number[], 2, FALSE))</f>
        <v>zero</v>
      </c>
      <c r="FE2" s="396" t="str">
        <f>IF('Project Info'!$K$92&gt;11, 'Project Info'!$K$92, VLOOKUP('Project Info'!$K$92, TBL_REF_01_Number[], 2, FALSE))</f>
        <v>zero</v>
      </c>
      <c r="FF2" s="396" t="str">
        <f>IF('Project Info'!$K$93&gt;11, 'Project Info'!$K$93, VLOOKUP('Project Info'!$K$93, TBL_REF_01_Number[], 2, FALSE))</f>
        <v>zero</v>
      </c>
      <c r="FG2" s="396">
        <f t="array" ref="FG2">IFERROR(INDEX(TBL_DATA_02_Q_Info[Select_Points], MATCH(1, (TBL_DATA_02_Q_Info[Lot]="All")*(TBL_DATA_02_Q_Info[Include?]="Yes"), 0)), "N/A")</f>
        <v>20</v>
      </c>
      <c r="FH2" s="396" t="str">
        <f t="array" ref="FH2">IFERROR(INDEX(TBL_DATA_02_Q_Info[Select_Points], MATCH(1, (TBL_DATA_02_Q_Info[Lot]=IF(REF_Select_1_Qs="Yes", "All", "Lot_1"))*(TBL_DATA_02_Q_Info[Include?]="Yes"), 0)), "N/A")</f>
        <v>N/A</v>
      </c>
      <c r="FI2" s="396" t="str">
        <f t="array" ref="FI2">IFERROR(INDEX(TBL_DATA_02_Q_Info[Select_Points], MATCH(1, (TBL_DATA_02_Q_Info[Lot]=IF(REF_Select_1_Qs="Yes", "All", "Lot_2"))*(TBL_DATA_02_Q_Info[Include?]="Yes"), 0)), "N/A")</f>
        <v>N/A</v>
      </c>
      <c r="FJ2" s="396" t="str">
        <f t="array" ref="FJ2">IFERROR(INDEX(TBL_DATA_02_Q_Info[Select_Points], MATCH(1, (TBL_DATA_02_Q_Info[Lot]=IF(REF_Select_1_Qs="Yes", "All", "Lot_3"))*(TBL_DATA_02_Q_Info[Include?]="Yes"), 0)), "N/A")</f>
        <v>N/A</v>
      </c>
      <c r="FK2" s="396" t="str">
        <f t="array" ref="FK2">IFERROR(INDEX(TBL_DATA_02_Q_Info[Select_Points], MATCH(1, (TBL_DATA_02_Q_Info[Lot]=IF(REF_Select_1_Qs="Yes", "All", "Lot_4"))*(TBL_DATA_02_Q_Info[Include?]="Yes"), 0)), "N/A")</f>
        <v>N/A</v>
      </c>
      <c r="FL2" s="396" t="str">
        <f t="array" ref="FL2">IFERROR(INDEX(TBL_DATA_02_Q_Info[Select_Points], MATCH(1, (TBL_DATA_02_Q_Info[Lot]=IF(REF_Select_1_Qs="Yes", "All", "Lot_5"))*(TBL_DATA_02_Q_Info[Include?]="Yes"), 0)), "N/A")</f>
        <v>N/A</v>
      </c>
      <c r="FM2" s="396">
        <f t="array" ref="FM2">IFERROR(INDEX(TBL_DATA_02_Q_Info[Tech_Points], MATCH(1, (TBL_DATA_02_Q_Info[Lot]="All")*(TBL_DATA_02_Q_Info[Include?]="Yes"), 0)), "N/A")</f>
        <v>0</v>
      </c>
      <c r="FN2" s="392" t="str">
        <f t="array" ref="FN2">IFERROR(INDEX(TBL_DATA_02_Q_Info[Tech_Points], MATCH(1, (TBL_DATA_02_Q_Info[Lot]=IF(REF_Tech_1_Qs="Yes", "All", "Lot_1"))*(TBL_DATA_02_Q_Info[Include?]="Yes"), 0)), "N/A")</f>
        <v>N/A</v>
      </c>
      <c r="FO2" s="392" t="str">
        <f t="array" ref="FO2">IFERROR(INDEX(TBL_DATA_02_Q_Info[Tech_Points], MATCH(1, (TBL_DATA_02_Q_Info[Lot]=IF(REF_Tech_1_Qs="Yes", "All", "Lot_2"))*(TBL_DATA_02_Q_Info[Include?]="Yes"), 0)), "N/A")</f>
        <v>N/A</v>
      </c>
      <c r="FP2" s="392" t="str">
        <f t="array" ref="FP2">IFERROR(INDEX(TBL_DATA_02_Q_Info[Tech_Points], MATCH(1, (TBL_DATA_02_Q_Info[Lot]=IF(REF_Tech_1_Qs="Yes", "All", "Lot_3"))*(TBL_DATA_02_Q_Info[Include?]="Yes"), 0)), "N/A")</f>
        <v>N/A</v>
      </c>
      <c r="FQ2" s="392" t="str">
        <f t="array" ref="FQ2">IFERROR(INDEX(TBL_DATA_02_Q_Info[Tech_Points], MATCH(1, (TBL_DATA_02_Q_Info[Lot]=IF(REF_Tech_1_Qs="Yes", "All", "Lot_4"))*(TBL_DATA_02_Q_Info[Include?]="Yes"), 0)), "N/A")</f>
        <v>N/A</v>
      </c>
      <c r="FR2" s="392" t="str">
        <f t="array" ref="FR2">IFERROR(INDEX(TBL_DATA_02_Q_Info[Tech_Points], MATCH(1, (TBL_DATA_02_Q_Info[Lot]=IF(REF_Tech_1_Qs="Yes", "All", "Lot_5"))*(TBL_DATA_02_Q_Info[Include?]="Yes"), 0)), "N/A")</f>
        <v>N/A</v>
      </c>
      <c r="FS2" s="396" t="str">
        <f t="array" ref="FS2">IFERROR(INDEX(TBL_DATA_02_Q_Info[IntSV_Points], MATCH(1, (TBL_DATA_02_Q_Info[Lot]="All")*(TBL_DATA_02_Q_Info[Include?]="Yes"), 0)), "N/A")</f>
        <v>-</v>
      </c>
      <c r="FT2" s="392" t="str">
        <f t="array" ref="FT2">IFERROR(INDEX(TBL_DATA_02_Q_Info[IntSV_Points], MATCH(1, (TBL_DATA_02_Q_Info[Lot]=IF(REF_IntSV_1_Qs="Yes", "All", "Lot_1"))*(TBL_DATA_02_Q_Info[Include?]="Yes"), 0)), "N/A")</f>
        <v>N/A</v>
      </c>
      <c r="FU2" s="392" t="str">
        <f t="array" ref="FU2">IFERROR(INDEX(TBL_DATA_02_Q_Info[IntSV_Points], MATCH(1, (TBL_DATA_02_Q_Info[Lot]=IF(REF_IntSV_1_Qs="Yes", "All", "Lot_2"))*(TBL_DATA_02_Q_Info[Include?]="Yes"), 0)), "N/A")</f>
        <v>N/A</v>
      </c>
      <c r="FV2" s="392" t="str">
        <f t="array" ref="FV2">IFERROR(INDEX(TBL_DATA_02_Q_Info[IntSV_Points], MATCH(1, (TBL_DATA_02_Q_Info[Lot]=IF(REF_IntSV_1_Qs="Yes", "All", "Lot_3"))*(TBL_DATA_02_Q_Info[Include?]="Yes"), 0)), "N/A")</f>
        <v>N/A</v>
      </c>
      <c r="FW2" s="392" t="str">
        <f t="array" ref="FW2">IFERROR(INDEX(TBL_DATA_02_Q_Info[IntSV_Points], MATCH(1, (TBL_DATA_02_Q_Info[Lot]=IF(REF_IntSV_1_Qs="Yes", "All", "Lot_4"))*(TBL_DATA_02_Q_Info[Include?]="Yes"), 0)), "N/A")</f>
        <v>N/A</v>
      </c>
      <c r="FX2" s="392" t="str">
        <f t="array" ref="FX2">IFERROR(INDEX(TBL_DATA_02_Q_Info[IntSV_Points], MATCH(1, (TBL_DATA_02_Q_Info[Lot]=IF(REF_IntSV_1_Qs="Yes", "All", "Lot_5"))*(TBL_DATA_02_Q_Info[Include?]="Yes"), 0)), "N/A")</f>
        <v>N/A</v>
      </c>
      <c r="FY2" s="396">
        <f t="array" ref="FY2">IFERROR(INDEX(TBL_DATA_02_Q_Info[Select_Min], MATCH(1, (TBL_DATA_02_Q_Info[Lot]="All")*(TBL_DATA_02_Q_Info[Include?]="Yes"), 0)), "N/A")</f>
        <v>10</v>
      </c>
      <c r="FZ2" s="392" t="str">
        <f t="array" ref="FZ2">IFERROR(INDEX(TBL_DATA_02_Q_Info[Select_Min], MATCH(1, (TBL_DATA_02_Q_Info[Lot]=IF(REF_Select_1_Qs="Yes", "All", "Lot_1"))*(TBL_DATA_02_Q_Info[Include?]="Yes"), 0)), "N/A")</f>
        <v>N/A</v>
      </c>
      <c r="GA2" s="392" t="str">
        <f t="array" ref="GA2">IFERROR(INDEX(TBL_DATA_02_Q_Info[Select_Min], MATCH(1, (TBL_DATA_02_Q_Info[Lot]=IF(REF_Select_1_Qs="Yes", "All", "Lot_2"))*(TBL_DATA_02_Q_Info[Include?]="Yes"), 0)), "N/A")</f>
        <v>N/A</v>
      </c>
      <c r="GB2" s="392" t="str">
        <f t="array" ref="GB2">IFERROR(INDEX(TBL_DATA_02_Q_Info[Select_Min], MATCH(1, (TBL_DATA_02_Q_Info[Lot]=IF(REF_Select_1_Qs="Yes", "All", "Lot_3"))*(TBL_DATA_02_Q_Info[Include?]="Yes"), 0)), "N/A")</f>
        <v>N/A</v>
      </c>
      <c r="GC2" s="392" t="str">
        <f t="array" ref="GC2">IFERROR(INDEX(TBL_DATA_02_Q_Info[Select_Min], MATCH(1, (TBL_DATA_02_Q_Info[Lot]=IF(REF_Select_1_Qs="Yes", "All", "Lot_4"))*(TBL_DATA_02_Q_Info[Include?]="Yes"), 0)), "N/A")</f>
        <v>N/A</v>
      </c>
      <c r="GD2" s="392" t="str">
        <f t="array" ref="GD2">IFERROR(INDEX(TBL_DATA_02_Q_Info[Select_Min], MATCH(1, (TBL_DATA_02_Q_Info[Lot]=IF(REF_Select_1_Qs="Yes", "All", "Lot_5"))*(TBL_DATA_02_Q_Info[Include?]="Yes"), 0)), "N/A")</f>
        <v>N/A</v>
      </c>
      <c r="GE2" s="396" t="str">
        <f>IF(TBL_DATA_00_Doc_Merge[[#This Row],[Limit_Wins]]="Yes", IF('Project Info'!$K$59&lt;=10, VLOOKUP('Project Info'!$K$59, TBL_REF_01_Number[], 2, FALSE), 'Project Info'!$K$59), "N/A")</f>
        <v>N/A</v>
      </c>
      <c r="GF2" s="360" t="s">
        <v>2227</v>
      </c>
      <c r="GG2" s="392" t="str">
        <f>'Project Info'!$K$43</f>
        <v>No</v>
      </c>
      <c r="GH2" s="392">
        <f>'Project Info'!$K$44</f>
        <v>0</v>
      </c>
      <c r="GI2" s="394">
        <f>'Project Info'!$K$62</f>
        <v>10000000</v>
      </c>
      <c r="GJ2" s="394">
        <f>'Project Info'!$K$63</f>
        <v>10000000</v>
      </c>
      <c r="GK2" s="394">
        <f>'Project Info'!$K$64</f>
        <v>2000000</v>
      </c>
      <c r="GL2" s="394">
        <f>'Project Info'!$K$65</f>
        <v>0</v>
      </c>
      <c r="GM2" s="397" t="str">
        <f t="array" ref="GM2">TEXT(INDEX(TBL_ADD_03_Dates[Date], MATCH(1, ("Select"=TBL_ADD_03_Dates[Stage])*("Clarification"=TBL_ADD_03_Dates[Activity]),0)), "d MMMM YYYY")</f>
        <v/>
      </c>
      <c r="GN2" s="397" t="str">
        <f t="array" ref="GN2">TEXT(INDEX(TBL_ADD_03_Dates[Date], MATCH(1, ("Select"=TBL_ADD_03_Dates[Stage])*("Return"=TBL_ADD_03_Dates[Activity]),0)), "d MMMM YYYY")</f>
        <v/>
      </c>
      <c r="GO2" s="397" t="str">
        <f t="array" ref="GO2">IF(INDEX(TBL_ADD_03_Dates[Date], MATCH(1, ("Select"=TBL_ADD_03_Dates[Stage])*("Time"=TBL_ADD_03_Dates[Activity]),0))=0.5,"12:00 noon",IF(INDEX(TBL_ADD_03_Dates[Date], MATCH(1, ("Select"=TBL_ADD_03_Dates[Stage])*("Time"=TBL_ADD_03_Dates[Activity]),0))&lt;0.5, CONCATENATE(HOUR(INDEX(TBL_ADD_03_Dates[Date], MATCH(1, ("Select"=TBL_ADD_03_Dates[Stage])*("Time"=TBL_ADD_03_Dates[Activity]),0))), ":00 am"),CONCATENATE((HOUR(INDEX(TBL_ADD_03_Dates[Date], MATCH(1, ("Select"=TBL_ADD_03_Dates[Stage])*("Time"=TBL_ADD_03_Dates[Activity]),0)))-12), ":00 pm")))</f>
        <v>0:00 am</v>
      </c>
      <c r="GP2" s="397" t="str">
        <f t="array" ref="GP2">TEXT(INDEX(TBL_ADD_03_Dates[Date], MATCH(1, ("Tender"=TBL_ADD_03_Dates[Stage])*("Issue"=TBL_ADD_03_Dates[Activity]),0)), "d MMMM YYYY")</f>
        <v>0 January 1900</v>
      </c>
      <c r="GQ2" s="397" t="str">
        <f t="array" ref="GQ2">TEXT(INDEX(TBL_ADD_03_Dates[Date], MATCH(1, ("Tender"=TBL_ADD_03_Dates[Stage])*("Clarification"=TBL_ADD_03_Dates[Activity]),0)), "d MMMM YYYY")</f>
        <v/>
      </c>
      <c r="GR2" s="397" t="str">
        <f t="array" ref="GR2">TEXT(INDEX(TBL_ADD_03_Dates[Date], MATCH(1, ("Tender"=TBL_ADD_03_Dates[Stage])*("Return"=TBL_ADD_03_Dates[Activity]),0)), "d MMMM YYYY")</f>
        <v/>
      </c>
      <c r="GS2" s="397" t="str">
        <f t="array" ref="GS2">IF(INDEX(TBL_ADD_03_Dates[Date], MATCH(1, ("Tender"=TBL_ADD_03_Dates[Stage])*("Time"=TBL_ADD_03_Dates[Activity]),0))=0.5,"12:00 noon",IF(INDEX(TBL_ADD_03_Dates[Date], MATCH(1, ("Tender"=TBL_ADD_03_Dates[Stage])*("Time"=TBL_ADD_03_Dates[Activity]),0))&lt;0.5, CONCATENATE(HOUR(INDEX(TBL_ADD_03_Dates[Date], MATCH(1, ("Tender"=TBL_ADD_03_Dates[Stage])*("Time"=TBL_ADD_03_Dates[Activity]),0))), ":00 am"),CONCATENATE((HOUR(INDEX(TBL_ADD_03_Dates[Date], MATCH(1, ("Tender"=TBL_ADD_03_Dates[Stage])*("Time"=TBL_ADD_03_Dates[Activity]),0)))-12), ":00 pm")))</f>
        <v>0:00 am</v>
      </c>
      <c r="GT2" s="397" t="str">
        <f t="array" ref="GT2">TEXT(INDEX(TBL_ADD_03_Dates[Date], MATCH(1, ("Tender"=TBL_ADD_03_Dates[Stage])*("IntSV_Advise"=TBL_ADD_03_Dates[Activity]),0)), "d MMMM YYYY")</f>
        <v>0 January 1900</v>
      </c>
      <c r="GU2" s="397">
        <f t="array" ref="GU2">INDEX(TBL_ADD_03_Dates[Date], MATCH(1, ("Tender"=TBL_ADD_03_Dates[Stage])*("IntSV_Start"=TBL_ADD_03_Dates[Activity]),0))</f>
        <v>0</v>
      </c>
      <c r="GV2" s="397">
        <f t="array" ref="GV2">INDEX(TBL_ADD_03_Dates[Date], MATCH(1, ("Tender"=TBL_ADD_03_Dates[Stage])*("IntSV_End"=TBL_ADD_03_Dates[Activity]),0))</f>
        <v>0</v>
      </c>
      <c r="GW2" s="391" t="str">
        <f>IF(TBL_DATA_00_Doc_Merge[[#This Row],[IntSV_Start]]=TBL_DATA_00_Doc_Merge[[#This Row],[IntSV_End]], CONCATENATE("on ", TEXT(TBL_DATA_00_Doc_Merge[[#This Row],[IntSV_Start]], "DDDD"), " ", DAY(TBL_DATA_00_Doc_Merge[[#This Row],[IntSV_Start]]),"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"")&lt;&gt;"", CONCATENATE("between ", TEXT(TBL_DATA_00_Doc_Merge[[#This Row],[IntSV_Start]], "DDDD"), " ", DAY(TBL_DATA_00_Doc_Merge[[#This Row],[IntSV_Start]]), " and ", TEXT(TBL_DATA_00_Doc_Merge[[#This Row],[IntSV_End]], "DDDD"), " ", DAY(TBL_DATA_00_Doc_Merge[[#This Row],[IntSV_End]]),"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IF(YEAR(TBL_DATA_00_Doc_Merge[[#This Row],[IntSV_Start]])=YEAR(TBL_DATA_00_Doc_Merge[[#This Row],[IntSV_End]]), CONCATENATE("between ", TEXT(TBL_DATA_00_Doc_Merge[[#This Row],[IntSV_Start]], "DDDD"), " ", DAY(TBL_DATA_00_Doc_Merge[[#This Row],[IntSV_Start]]), " ", TEXT(TBL_DATA_00_Doc_Merge[[#This Row],[IntSV_Start]], "MMMM"), " and ", TEXT(TBL_DATA_00_Doc_Merge[[#This Row],[IntSV_End]], "DDDD"), " ", DAY(TBL_DATA_00_Doc_Merge[[#This Row],[IntSV_End]])," ",  TEXT(TBL_DATA_00_Doc_Merge[[#This Row],[IntSV_End]], "MMMM")," ",YEAR(TBL_DATA_00_Doc_Merge[[#This Row],[IntSV_End]])), CONCATENATE("between ", TEXT(TBL_DATA_00_Doc_Merge[[#This Row],[IntSV_Start]], "DDDD"), " ", DAY(TBL_DATA_00_Doc_Merge[[#This Row],[IntSV_Start]]), " ", TEXT(TBL_DATA_00_Doc_Merge[[#This Row],[IntSV_Start]], "MMMM")," ", YEAR(TBL_DATA_00_Doc_Merge[[#This Row],[IntSV_Start]]), " and ", TEXT(TBL_DATA_00_Doc_Merge[[#This Row],[IntSV_End]], "DDDD"), " ", DAY(TBL_DATA_00_Doc_Merge[[#This Row],[IntSV_End]])," ",  TEXT(TBL_DATA_00_Doc_Merge[[#This Row],[IntSV_End]], "MMMM")," ",YEAR(TBL_DATA_00_Doc_Merge[[#This Row],[IntSV_End]])))))</f>
        <v>on Saturday 0 January 1900</v>
      </c>
      <c r="GX2" s="397">
        <f t="array" ref="GX2">INDEX(TBL_ADD_03_Dates[Date], MATCH(1, ("Neg"=TBL_ADD_03_Dates[Stage])*("Start"=TBL_ADD_03_Dates[Activity]),0))</f>
        <v>0</v>
      </c>
      <c r="GY2" s="397">
        <f t="array" ref="GY2">INDEX(TBL_ADD_03_Dates[Date], MATCH(1, ("Neg"=TBL_ADD_03_Dates[Stage])*("End"=TBL_ADD_03_Dates[Activity]),0))</f>
        <v>0</v>
      </c>
      <c r="GZ2" s="397" t="str">
        <f>IF(TBL_DATA_00_Doc_Merge[[#This Row],[Neg_Start]]=TBL_DATA_00_Doc_Merge[[#This Row],[Neg_End]], CONCATENATE("on ", TEXT(TBL_DATA_00_Doc_Merge[[#This Row],[Neg_Start]], "DDDD"), " ", DAY(TBL_DATA_00_Doc_Merge[[#This Row],[Neg_Start]]),"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IF(IF(AND(MONTH(TBL_DATA_00_Doc_Merge[[#This Row],[Neg_Start]])=MONTH(TBL_DATA_00_Doc_Merge[[#This Row],[Neg_End]]), YEAR(TBL_DATA_00_Doc_Merge[[#This Row],[Neg_Start]])=YEAR(TBL_DATA_00_Doc_Merge[[#This Row],[Neg_End]])), CONCATENATE(TEXT(TBL_DATA_00_Doc_Merge[[#This Row],[Neg_Start]], "MMMM"), " ", YEAR(TBL_DATA_00_Doc_Merge[[#This Row],[Neg_Start]])), "")&lt;&gt;"", CONCATENATE("between ", TEXT(TBL_DATA_00_Doc_Merge[[#This Row],[Neg_Start]], "DDDD"), " ", DAY(TBL_DATA_00_Doc_Merge[[#This Row],[Neg_Start]]), " and ", TEXT(TBL_DATA_00_Doc_Merge[[#This Row],[Neg_End]], "DDDD"), " ", DAY(TBL_DATA_00_Doc_Merge[[#This Row],[Neg_End]]),"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IF(YEAR(TBL_DATA_00_Doc_Merge[[#This Row],[Neg_Start]])=YEAR(TBL_DATA_00_Doc_Merge[[#This Row],[Neg_End]]), CONCATENATE("between ", TEXT(TBL_DATA_00_Doc_Merge[[#This Row],[Neg_Start]], "DDDD"), " ", DAY(TBL_DATA_00_Doc_Merge[[#This Row],[Neg_Start]]), " ", TEXT(TBL_DATA_00_Doc_Merge[[#This Row],[Neg_Start]], "MMMM"), " and ", TEXT(TBL_DATA_00_Doc_Merge[[#This Row],[Neg_End]], "DDDD"), " ", DAY(TBL_DATA_00_Doc_Merge[[#This Row],[Neg_End]])," ",  TEXT(TBL_DATA_00_Doc_Merge[[#This Row],[Neg_End]], "MMMM")," ",YEAR(TBL_DATA_00_Doc_Merge[[#This Row],[Neg_End]])), CONCATENATE("between ", TEXT(TBL_DATA_00_Doc_Merge[[#This Row],[Neg_Start]], "DDDD"), " ", DAY(TBL_DATA_00_Doc_Merge[[#This Row],[Neg_Start]]), " ", TEXT(TBL_DATA_00_Doc_Merge[[#This Row],[Neg_Start]], "MMMM")," ", YEAR(TBL_DATA_00_Doc_Merge[[#This Row],[Neg_Start]]), " and ", TEXT(TBL_DATA_00_Doc_Merge[[#This Row],[Neg_End]], "DDDD"), " ", DAY(TBL_DATA_00_Doc_Merge[[#This Row],[Neg_End]])," ",  TEXT(TBL_DATA_00_Doc_Merge[[#This Row],[Neg_End]], "MMMM")," ",YEAR(TBL_DATA_00_Doc_Merge[[#This Row],[Neg_End]])))))</f>
        <v>on Saturday 0 January 1900</v>
      </c>
      <c r="HA2" s="397"/>
      <c r="HB2" s="397" t="str">
        <f t="array" ref="HB2">TEXT(INDEX(TBL_ADD_03_Dates[Date], MATCH(1, ("Final"=TBL_ADD_03_Dates[Stage])*("Clarification"=TBL_ADD_03_Dates[Activity]),0)), "d MMMM YYYY")</f>
        <v/>
      </c>
      <c r="HC2" s="397" t="str">
        <f t="array" ref="HC2">TEXT(INDEX(TBL_ADD_03_Dates[Date], MATCH(1, ("Final"=TBL_ADD_03_Dates[Stage])*("Return"=TBL_ADD_03_Dates[Activity]),0)), "d MMMM YYYY")</f>
        <v/>
      </c>
      <c r="HD2" s="397" t="str">
        <f t="array" ref="HD2">IF(INDEX(TBL_ADD_03_Dates[Date], MATCH(1, ("Final"=TBL_ADD_03_Dates[Stage])*("Time"=TBL_ADD_03_Dates[Activity]),0))=0.5,"12:00 noon",IF(INDEX(TBL_ADD_03_Dates[Date], MATCH(1, ("Final"=TBL_ADD_03_Dates[Stage])*("Time"=TBL_ADD_03_Dates[Activity]),0))&lt;0.5, CONCATENATE(HOUR(INDEX(TBL_ADD_03_Dates[Date], MATCH(1, ("Final"=TBL_ADD_03_Dates[Stage])*("Time"=TBL_ADD_03_Dates[Activity]),0))), ":00 am"),CONCATENATE((HOUR(INDEX(TBL_ADD_03_Dates[Date], MATCH(1, ("Final"=TBL_ADD_03_Dates[Stage])*("Time"=TBL_ADD_03_Dates[Activity]),0)))-12), ":00 pm")))</f>
        <v>0:00 am</v>
      </c>
      <c r="HE2" s="397" t="str">
        <f t="array" ref="HE2">TEXT(INDEX(TBL_ADD_03_Dates[Date], MATCH(1, ("Final"=TBL_ADD_03_Dates[Stage])*("IntSV_Advise"=TBL_ADD_03_Dates[Activity]),0)), "d MMMM YYYY")</f>
        <v>0 January 1900</v>
      </c>
      <c r="HF2" s="397">
        <f t="array" ref="HF2">INDEX(TBL_ADD_03_Dates[Date], MATCH(1, ("Final"=TBL_ADD_03_Dates[Stage])*("IntSV_Start"=TBL_ADD_03_Dates[Activity]),0))</f>
        <v>0</v>
      </c>
      <c r="HG2" s="397">
        <f t="array" ref="HG2">INDEX(TBL_ADD_03_Dates[Date], MATCH(1, ("Final"=TBL_ADD_03_Dates[Stage])*("IntSV_End"=TBL_ADD_03_Dates[Activity]),0))</f>
        <v>0</v>
      </c>
      <c r="HH2" s="391" t="str">
        <f>IF(TBL_DATA_00_Doc_Merge[[#This Row],[Final_IntSV_Start]]=TBL_DATA_00_Doc_Merge[[#This Row],[Final_IntSV_End]], CONCATENATE("on ", TEXT(TBL_DATA_00_Doc_Merge[[#This Row],[Final_IntSV_Start]], "DDDD"), " ", DAY(TBL_DATA_00_Doc_Merge[[#This Row],[Final_IntSV_Start]]),"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"")&lt;&gt;"", CONCATENATE("between ", TEXT(TBL_DATA_00_Doc_Merge[[#This Row],[Final_IntSV_Start]], "DDDD"), " ", DAY(TBL_DATA_00_Doc_Merge[[#This Row],[Final_IntSV_Start]]), " and ", TEXT(TBL_DATA_00_Doc_Merge[[#This Row],[Final_IntSV_End]], "DDDD"), " ", DAY(TBL_DATA_00_Doc_Merge[[#This Row],[Final_IntSV_End]]),"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IF(YEAR(TBL_DATA_00_Doc_Merge[[#This Row],[Final_IntSV_Start]])=YEAR(TBL_DATA_00_Doc_Merge[[#This Row],[Final_IntSV_End]]), CONCATENATE("between ", TEXT(TBL_DATA_00_Doc_Merge[[#This Row],[Final_IntSV_Start]], "DDDD"), " ", DAY(TBL_DATA_00_Doc_Merge[[#This Row],[Final_IntSV_Start]]), " ", TEXT(TBL_DATA_00_Doc_Merge[[#This Row],[Final_IntSV_Start]], "MMMM"), " and ", TEXT(TBL_DATA_00_Doc_Merge[[#This Row],[Final_IntSV_End]], "DDDD"), " ", DAY(TBL_DATA_00_Doc_Merge[[#This Row],[Final_IntSV_End]])," ",  TEXT(TBL_DATA_00_Doc_Merge[[#This Row],[Final_IntSV_End]], "MMMM")," ",YEAR(TBL_DATA_00_Doc_Merge[[#This Row],[Final_IntSV_End]])), CONCATENATE("between ", TEXT(TBL_DATA_00_Doc_Merge[[#This Row],[Final_IntSV_Start]], "DDDD"), " ", DAY(TBL_DATA_00_Doc_Merge[[#This Row],[Final_IntSV_Start]]), " ", TEXT(TBL_DATA_00_Doc_Merge[[#This Row],[Final_IntSV_Start]], "MMMM")," ", YEAR(TBL_DATA_00_Doc_Merge[[#This Row],[Final_IntSV_Start]]), " and ", TEXT(TBL_DATA_00_Doc_Merge[[#This Row],[Final_IntSV_End]], "DDDD"), " ", DAY(TBL_DATA_00_Doc_Merge[[#This Row],[Final_IntSV_End]])," ",  TEXT(TBL_DATA_00_Doc_Merge[[#This Row],[Final_IntSV_End]], "MMMM")," ",YEAR(TBL_DATA_00_Doc_Merge[[#This Row],[Final_IntSV_End]])))))</f>
        <v>on Saturday 0 January 1900</v>
      </c>
      <c r="HI2" s="397">
        <f t="array" ref="HI2">INDEX(TBL_ADD_03_Dates[Date], MATCH(1, ("Award"=TBL_ADD_03_Dates[Stage])*("Award"=TBL_ADD_03_Dates[Activity]),0))</f>
        <v>0</v>
      </c>
      <c r="HJ2" s="396" t="str">
        <f>'Project Info'!$K$45</f>
        <v>Yes</v>
      </c>
      <c r="HK2" s="396" t="str">
        <f>IF(TBL_DATA_00_Doc_Merge[[#This Row],[Uplift]]="No","N/A", IF('Project Info'!$L$46&lt;&gt;"", 'Project Info'!$L$46, 'Project Info'!$K$46))</f>
        <v>CPI</v>
      </c>
      <c r="HL2" s="398">
        <f t="array" ref="HL2">IF(TBL_DATA_00_Doc_Merge[[#This Row],[Uplift]]="No", "N/A", INDEX(TBL_ADD_03_Dates[Date], MATCH(1, ("Uplift"=TBL_ADD_03_Dates[Stage])*("Uplift"=TBL_ADD_03_Dates[Activity]),0)))</f>
        <v>0</v>
      </c>
      <c r="HM2" s="396" t="e">
        <f>IF(TBL_DATA_00_Doc_Merge[[#This Row],[Uplift_date]]="N/A", CONCATENATE("the end of the ", TBL_DATA_00_Doc_Merge[[#This Row],[contract_or_fw]]), TEXT(TBL_DATA_00_Doc_Merge[[#This Row],[Uplift_date]]-1, "d MMMM yyyy"))</f>
        <v>#VALUE!</v>
      </c>
      <c r="HN2" s="396" t="e">
        <f>IF(#REF!="Section not applicable",  'Project Info'!$K$42,  "Yes")</f>
        <v>#REF!</v>
      </c>
      <c r="HO2" s="399" t="str">
        <f>IF(Response!$A$2&lt;&gt;"", Response!$A$2, "")</f>
        <v>Purdy Contracts Ltd</v>
      </c>
      <c r="HQ2" t="s">
        <v>2146</v>
      </c>
      <c r="HR2" s="1" t="s">
        <v>1944</v>
      </c>
      <c r="HS2" s="1" t="s">
        <v>532</v>
      </c>
      <c r="HT2" t="s">
        <v>1971</v>
      </c>
    </row>
    <row r="3" spans="1:228" ht="137.5" hidden="1">
      <c r="A3" s="396" t="s">
        <v>346</v>
      </c>
      <c r="B3" s="400" t="s">
        <v>340</v>
      </c>
      <c r="C3" s="390">
        <f>'Project Info'!$K$5</f>
        <v>0</v>
      </c>
      <c r="D3" s="360" t="str">
        <f>'Project Info'!$K$9</f>
        <v>Royal Borough of Greenwich</v>
      </c>
      <c r="E3" s="360" t="str">
        <f>'Project Info'!$K$10</f>
        <v>Royal Greenwich</v>
      </c>
      <c r="F3" s="360" t="str">
        <f>CONCATENATE('Project Info'!$K$7, " for ", TBL_DATA_00_Doc_Merge[[#This Row],[Lot_Ref]], " (", TBL_DATA_00_Doc_Merge[[#This Row],[Lot_1_Name]], ")")</f>
        <v>Major and Responsive Repairs and Void Refurbishment Contract for Lot 1 (N/A)</v>
      </c>
      <c r="G3" s="360" t="str">
        <f>'Project Info'!$K$8</f>
        <v>major and responsve repairs and void refurbishment works</v>
      </c>
      <c r="H3" s="360" t="str">
        <f>'Project Info'!$K$11</f>
        <v>The Woolwich Centre, 35 Wellington Street, Woolwich, SE18 6HQ.</v>
      </c>
      <c r="I3" s="360" t="str">
        <f>'Project Info'!$K$12</f>
        <v>Areas of Greenwich, Greenwich Peninsula, Charlton, Plumstead, Kidbrooke, Eltham, Woolwich, Thamesmead and Abbey Wood</v>
      </c>
      <c r="J3" s="360" t="str">
        <f>'Project Info'!$L$6</f>
        <v>JW</v>
      </c>
      <c r="K3" s="360" t="str">
        <f t="array" ref="K3">IF(INDEX(TBL_ADD_02_Project_Info[Response], MATCH(1, ("Author"=TBL_ADD_02_Project_Info[Ref])*("All"=TBL_ADD_02_Project_Info[Lot]), 0))&lt;&gt;"", INDEX(TBL_ADD_02_Project_Info[Response], MATCH(1, ("Author"=TBL_ADD_02_Project_Info[Ref])*("All"=TBL_ADD_02_Project_Info[Lot]), 0)), "Add on Eval Info")</f>
        <v>Julie Watts</v>
      </c>
      <c r="L3" s="360" t="str" cm="1">
        <f t="array" ref="L3">IF(INDEX(TBL_ADD_02_Project_Info[Response], MATCH(1, ("Office"=TBL_ADD_02_Project_Info[Ref])*("All"=TBL_ADD_02_Project_Info[Lot]), 0))&lt;&gt;"", INDEX(TBL_ADD_02_Project_Info[Response], MATCH(1, ("Office"=TBL_ADD_02_Project_Info[Ref])*("All"=TBL_ADD_02_Project_Info[Lot]), 0)), "Add on Eval Info")</f>
        <v>Orpington</v>
      </c>
      <c r="M3" s="360" t="str">
        <f>IF(TBL_DATA_00_Doc_Merge[[#This Row],[DOC_Office]]="Add on Eval Info", "Add on Eval Info", VLOOKUP(TBL_DATA_00_Doc_Merge[[#This Row],[DOC_Office]], TBL_REF_04_Offices[], 2, FALSE))</f>
        <v>Central Court, Knoll Rise, Orpington, BR6 0JA</v>
      </c>
      <c r="N3" s="360" t="str">
        <f>IF(TBL_DATA_00_Doc_Merge[[#This Row],[DOC_Office]]="Add on Eval Info", "Add on Eval Info", VLOOKUP(TBL_DATA_00_Doc_Merge[[#This Row],[DOC_Office]], TBL_REF_04_Offices[], 3, FALSE))</f>
        <v>01689 885 080</v>
      </c>
      <c r="O3" s="391" t="str">
        <f>IF(TBL_DATA_00_Doc_Merge[[#This Row],[Tender_Type]]="Final Tender", TEXT(Dates!$H$33, "d MMMM YYYY"), IF(OR( TBL_DATA_00_Doc_Merge[[#This Row],[Tender_Type]]="Initial Tender", TBL_DATA_00_Doc_Merge[[#This Row],[Tender_Type]]="Tender"), IF('Project Info'!$K$29="Draft", TEXT(Dates!$H$5, "d MMMM YYYY"), TEXT(Dates!$H$14, "d MMMM YYYY")), IF(TBL_DATA_00_Doc_Merge[[#This Row],[Procedure]]="Open Procedure", TEXT(Dates!$H$14, "d MMMM YYYY"), TEXT(Dates!$H$5, "d MMMM YYYY"))))</f>
        <v>0 January 1900</v>
      </c>
      <c r="P3" s="360" t="str">
        <f>'Project Info'!$K$14</f>
        <v>Open Procedure</v>
      </c>
      <c r="Q3" s="360" t="str">
        <f>IF(OR('Project Info'!$K$16="Greater than £4.5M", 'Project Info'!$K$16="Greater than £181K"), "Above", "Below")</f>
        <v>Below</v>
      </c>
      <c r="R3" s="360" t="str">
        <f>IF('Project Info'!$K$14="Open Procedure", "Open", IF('Project Info'!$K$28="SQ", "Selection", "Tender"))</f>
        <v>Open</v>
      </c>
      <c r="S3" s="360" t="str">
        <f>'Project Info'!$K$28</f>
        <v>Tender</v>
      </c>
      <c r="T3" s="360" t="str">
        <f>IF(TBL_DATA_00_Doc_Merge[[#This Row],[Doc_Type]]="Selection", $HQ$2, IF(TBL_DATA_00_Doc_Merge[[#This Row],[Doc_Type]]="Open", $HQ$2&amp;" and Tender", IF(TBL_DATA_00_Doc_Merge[[#This Row],[Tender_Type]]="Initial", $HQ$4&amp;"n Initial Tender", IF(TBL_DATA_00_Doc_Merge[[#This Row],[Tender_Type]]="Final", $HQ$4&amp;"Final Tender", $HQ$3))))</f>
        <v>Request to Participate and Tender</v>
      </c>
      <c r="U3" s="360" t="str">
        <f>IF(TBL_DATA_00_Doc_Merge[[#This Row],[Doc_Type]]="Selection", TBL_DATA_00_Doc_Merge[[#This Row],[PAS_or_SQ]], IF(TBL_DATA_00_Doc_Merge[[#This Row],[Doc_Type]]="Open", "Tender", IF(TBL_DATA_00_Doc_Merge[[#This Row],[Tender_Type]]="Initial", "ISIT", IF(TBL_DATA_00_Doc_Merge[[#This Row],[Tender_Type]]="Final", "ISFT", "ITT"))))</f>
        <v>Tender</v>
      </c>
      <c r="V3" s="360" t="str">
        <f>'Project Info'!$K$18</f>
        <v>PAS</v>
      </c>
      <c r="W3" s="360" t="str">
        <f>'Project Info'!$K$19</f>
        <v>No</v>
      </c>
      <c r="X3" s="360" t="str">
        <f>'Project Info'!$K$15</f>
        <v>works</v>
      </c>
      <c r="Y3" s="360" t="str">
        <f>'Project Info'!$K$37</f>
        <v>contracts</v>
      </c>
      <c r="Z3" s="360" t="str">
        <f t="shared" si="0"/>
        <v>No</v>
      </c>
      <c r="AA3" s="360">
        <f t="shared" si="1"/>
        <v>0</v>
      </c>
      <c r="AB3" s="360" t="str">
        <f>VLOOKUP(TBL_DATA_00_Doc_Merge[[#This Row],[No_of_Lots]], TBL_REF_01_Number[], 2, FALSE)&amp;IF(TBL_DATA_00_Doc_Merge[[#This Row],[No_of_Lots]]=1, " Lot", " Lots")</f>
        <v>zero Lots</v>
      </c>
      <c r="AC3" s="360" t="str">
        <f>IF('Project Info'!$K$38="Partnering", IF(OR('Project Info'!$K$39=$HS$2, 'Project Info'!$K$39=$HS$3), "TAC", "TPC"), 'Project Info'!$K$38)</f>
        <v>JCT</v>
      </c>
      <c r="AD3" s="360" t="str">
        <f>'Project Info'!$K$40</f>
        <v>Contractor</v>
      </c>
      <c r="AE3" s="395" t="str">
        <f t="shared" si="2"/>
        <v>No</v>
      </c>
      <c r="AF3" s="396" t="str">
        <f>IF('Project Info'!$K$17="Yes", "Yes", "No")</f>
        <v>Yes</v>
      </c>
      <c r="AG3" s="396" t="str">
        <f>IF('Project Info'!$K$30&lt;&gt;"", 'Project Info'!$K$30, "")</f>
        <v/>
      </c>
      <c r="AH3" s="396" t="str">
        <f>IF($HT$2='Project Info'!$K$20, 'Project Info'!$L$20, 'Project Info'!$K$20)</f>
        <v>Proactis</v>
      </c>
      <c r="AI3" s="396" t="str">
        <f>IF(TBL_DATA_00_Doc_Merge[[#This Row],[Doc_Type]]="Open", TEXT(Dates!$H$14, "d MMMM YYYY"), TEXT(Dates!$H$5, "d MMMM YYYY"))</f>
        <v>0 January 1900</v>
      </c>
      <c r="AJ3" s="396" t="str">
        <f t="array" ref="AJ3">IFERROR(INDEX(TBL_DATA_01_Lot_Info[Name], MATCH(1, (TBL_DATA_00_Doc_Merge[[#This Row],[Lot]]=TBL_DATA_01_Lot_Info[Lot])*("Yes"=TBL_DATA_01_Lot_Info[Include?]), 0)), "N/A")</f>
        <v>N/A</v>
      </c>
      <c r="AK3" s="396" t="str">
        <f t="array" ref="AK3">IFERROR(INDEX(TBL_DATA_01_Lot_Info[Description], MATCH(1, (TBL_DATA_00_Doc_Merge[[#This Row],[Lot]]=TBL_DATA_01_Lot_Info[Lot])*("Yes"=TBL_DATA_01_Lot_Info[Include?]), 0)), "N/A")</f>
        <v>N/A</v>
      </c>
      <c r="AL3" s="396" t="str">
        <f t="array" ref="AL3">IFERROR(INDEX(TBL_DATA_01_Lot_Info[Props_Approx], MATCH(1, (TBL_DATA_00_Doc_Merge[[#This Row],[Lot]]=TBL_DATA_01_Lot_Info[Lot])*("Yes"=TBL_DATA_01_Lot_Info[Include?]), 0)), "N/A")</f>
        <v>N/A</v>
      </c>
      <c r="AM3" s="396" t="str">
        <f t="array" ref="AM3">IFERROR(INDEX(TBL_DATA_01_Lot_Info[Props_No], MATCH(1, (TBL_DATA_00_Doc_Merge[[#This Row],[Lot]]=TBL_DATA_01_Lot_Info[Lot])*("Yes"=TBL_DATA_01_Lot_Info[Include?]), 0)), "N/A")</f>
        <v>N/A</v>
      </c>
      <c r="AN3" s="396" t="str">
        <f t="array" ref="AN3">IFERROR(INDEX(TBL_DATA_01_Lot_Info[Props_Type], MATCH(1, (TBL_DATA_00_Doc_Merge[[#This Row],[Lot]]=TBL_DATA_01_Lot_Info[Lot])*("Yes"=TBL_DATA_01_Lot_Info[Include?]), 0)), "N/A")</f>
        <v>N/A</v>
      </c>
      <c r="AO3" s="396" t="str">
        <f t="array" ref="AO3">IFERROR(INDEX(TBL_DATA_01_Lot_Info[Value_type], MATCH(1, (TBL_DATA_00_Doc_Merge[[#This Row],[Lot]]=TBL_DATA_01_Lot_Info[Lot])*("Yes"=TBL_DATA_01_Lot_Info[Include?]), 0)), "N/A")</f>
        <v>N/A</v>
      </c>
      <c r="AP3" s="396" t="str">
        <f t="array" ref="AP3">IFERROR(INDEX(TBL_DATA_01_Lot_Info[Value_Max], MATCH(1, (TBL_DATA_00_Doc_Merge[[#This Row],[Lot]]=TBL_DATA_01_Lot_Info[Lot])*("Yes"=TBL_DATA_01_Lot_Info[Include?]), 0)), "N/A")</f>
        <v>N/A</v>
      </c>
      <c r="AQ3" s="396" t="str">
        <f t="array" ref="AQ3">IFERROR(INDEX(TBL_DATA_01_Lot_Info[Value_Min], MATCH(1, (TBL_DATA_00_Doc_Merge[[#This Row],[Lot]]=TBL_DATA_01_Lot_Info[Lot])*("Yes"=TBL_DATA_01_Lot_Info[Include?]), 0)), "N/A")</f>
        <v>N/A</v>
      </c>
      <c r="AR3" s="396" t="str">
        <f t="array" ref="AR3">IFERROR(IF(INDEX(TBL_DATA_01_Lot_Info[ITT_Min], MATCH(1, (TBL_DATA_00_Doc_Merge[[#This Row],[Lot]]=TBL_DATA_01_Lot_Info[Lot])*("Yes"=TBL_DATA_01_Lot_Info[Include?]), 0))&lt;=10, VLOOKUP(INDEX(TBL_DATA_01_Lot_Info[ITT_Min], MATCH(1, (TBL_DATA_00_Doc_Merge[[#This Row],[Lot]]=TBL_DATA_01_Lot_Info[Lot])*("Yes"=TBL_DATA_01_Lot_Info[Include?]), 0)), TBL_REF_01_Number[], 2, FALSE), INDEX(TBL_DATA_01_Lot_Info[ITT_Min], MATCH(1, (TBL_DATA_00_Doc_Merge[[#This Row],[Lot]]=TBL_DATA_01_Lot_Info[Lot])*("Yes"=TBL_DATA_01_Lot_Info[Include?]), 0))), "N/A")</f>
        <v>N/A</v>
      </c>
      <c r="AS3" s="396" t="str">
        <f t="array" ref="AS3">IFERROR(IF(INDEX(TBL_DATA_01_Lot_Info[ITT_Max], MATCH(1, (TBL_DATA_00_Doc_Merge[[#This Row],[Lot]]=TBL_DATA_01_Lot_Info[Lot])*("Yes"=TBL_DATA_01_Lot_Info[Include?]), 0))&lt;=10, VLOOKUP(INDEX(TBL_DATA_01_Lot_Info[ITT_Max], MATCH(1, (TBL_DATA_00_Doc_Merge[[#This Row],[Lot]]=TBL_DATA_01_Lot_Info[Lot])*("Yes"=TBL_DATA_01_Lot_Info[Include?]), 0)), TBL_REF_01_Number[], 2, FALSE), INDEX(TBL_DATA_01_Lot_Info[ITT_Max], MATCH(1, (TBL_DATA_00_Doc_Merge[[#This Row],[Lot]]=TBL_DATA_01_Lot_Info[Lot])*("Yes"=TBL_DATA_01_Lot_Info[Include?]), 0))), "N/A")</f>
        <v>N/A</v>
      </c>
      <c r="AT3" s="396" t="str">
        <f t="array" ref="AT3">IFERROR(IF(INDEX(TBL_DATA_01_Lot_Info[Neg_Min], MATCH(1, (TBL_DATA_00_Doc_Merge[[#This Row],[Lot]]=TBL_DATA_01_Lot_Info[Lot])*("Yes"=TBL_DATA_01_Lot_Info[Include?]), 0))&lt;=10, VLOOKUP(INDEX(TBL_DATA_01_Lot_Info[Neg_Min], MATCH(1, (TBL_DATA_00_Doc_Merge[[#This Row],[Lot]]=TBL_DATA_01_Lot_Info[Lot])*("Yes"=TBL_DATA_01_Lot_Info[Include?]), 0)), TBL_REF_01_Number[], 2, FALSE), INDEX(TBL_DATA_01_Lot_Info[Neg_Min], MATCH(1, (TBL_DATA_00_Doc_Merge[[#This Row],[Lot]]=TBL_DATA_01_Lot_Info[Lot])*("Yes"=TBL_DATA_01_Lot_Info[Include?]), 0))), "N/A")</f>
        <v>N/A</v>
      </c>
      <c r="AU3" s="396" t="str">
        <f t="array" ref="AU3">IFERROR(IF(INDEX(TBL_DATA_01_Lot_Info[Neg_Max], MATCH(1, (TBL_DATA_00_Doc_Merge[[#This Row],[Lot]]=TBL_DATA_01_Lot_Info[Lot])*("Yes"=TBL_DATA_01_Lot_Info[Include?]), 0))&lt;=10, VLOOKUP(INDEX(TBL_DATA_01_Lot_Info[Neg_Max], MATCH(1, (TBL_DATA_00_Doc_Merge[[#This Row],[Lot]]=TBL_DATA_01_Lot_Info[Lot])*("Yes"=TBL_DATA_01_Lot_Info[Include?]), 0)), TBL_REF_01_Number[], 2, FALSE), INDEX(TBL_DATA_01_Lot_Info[Neg_Max], MATCH(1, (TBL_DATA_00_Doc_Merge[[#This Row],[Lot]]=TBL_DATA_01_Lot_Info[Lot])*("Yes"=TBL_DATA_01_Lot_Info[Include?]), 0))), "N/A")</f>
        <v>N/A</v>
      </c>
      <c r="AV3" s="396" t="str">
        <f t="array" ref="AV3">IFERROR(IF(INDEX(TBL_DATA_01_Lot_Info[ISFT_Min], MATCH(1, (TBL_DATA_00_Doc_Merge[[#This Row],[Lot]]=TBL_DATA_01_Lot_Info[Lot])*("Yes"=TBL_DATA_01_Lot_Info[Include?]), 0))&lt;=10, VLOOKUP(INDEX(TBL_DATA_01_Lot_Info[ISFT_Min], MATCH(1, (TBL_DATA_00_Doc_Merge[[#This Row],[Lot]]=TBL_DATA_01_Lot_Info[Lot])*("Yes"=TBL_DATA_01_Lot_Info[Include?]), 0)), TBL_REF_01_Number[], 2, FALSE), INDEX(TBL_DATA_01_Lot_Info[ISFT_Min], MATCH(1, (TBL_DATA_00_Doc_Merge[[#This Row],[Lot]]=TBL_DATA_01_Lot_Info[Lot])*("Yes"=TBL_DATA_01_Lot_Info[Include?]), 0))), "N/A")</f>
        <v>N/A</v>
      </c>
      <c r="AW3" s="396" t="str">
        <f t="array" ref="AW3">IFERROR(IF(INDEX(TBL_DATA_01_Lot_Info[ISFT_Max], MATCH(1, (TBL_DATA_00_Doc_Merge[[#This Row],[Lot]]=TBL_DATA_01_Lot_Info[Lot])*("Yes"=TBL_DATA_01_Lot_Info[Include?]), 0))&lt;=10, VLOOKUP(INDEX(TBL_DATA_01_Lot_Info[ISFT_Max], MATCH(1, (TBL_DATA_00_Doc_Merge[[#This Row],[Lot]]=TBL_DATA_01_Lot_Info[Lot])*("Yes"=TBL_DATA_01_Lot_Info[Include?]), 0)), TBL_REF_01_Number[], 2, FALSE), INDEX(TBL_DATA_01_Lot_Info[ISFT_Max], MATCH(1, (TBL_DATA_00_Doc_Merge[[#This Row],[Lot]]=TBL_DATA_01_Lot_Info[Lot])*("Yes"=TBL_DATA_01_Lot_Info[Include?]), 0))), "N/A")</f>
        <v>N/A</v>
      </c>
      <c r="AX3" s="396" t="str">
        <f t="array" ref="AX3">IFERROR(IF(INDEX(TBL_DATA_01_Lot_Info[Cons_Min], MATCH(1, (TBL_DATA_00_Doc_Merge[[#This Row],[Lot]]=TBL_DATA_01_Lot_Info[Lot])*("Yes"=TBL_DATA_01_Lot_Info[Include?]), 0))&lt;=10, VLOOKUP(INDEX(TBL_DATA_01_Lot_Info[Cons_Min], MATCH(1, (TBL_DATA_00_Doc_Merge[[#This Row],[Lot]]=TBL_DATA_01_Lot_Info[Lot])*("Yes"=TBL_DATA_01_Lot_Info[Include?]), 0)), TBL_REF_01_Number[], 2, FALSE), INDEX(TBL_DATA_01_Lot_Info[Cons_Min], MATCH(1, (TBL_DATA_00_Doc_Merge[[#This Row],[Lot]]=TBL_DATA_01_Lot_Info[Lot])*("Yes"=TBL_DATA_01_Lot_Info[Include?]), 0))), "N/A")</f>
        <v>N/A</v>
      </c>
      <c r="AY3" s="396" t="str">
        <f t="array" ref="AY3">IFERROR(IF(INDEX(TBL_DATA_01_Lot_Info[Cons_Max], MATCH(1, (TBL_DATA_00_Doc_Merge[[#This Row],[Lot]]=TBL_DATA_01_Lot_Info[Lot])*("Yes"=TBL_DATA_01_Lot_Info[Include?]), 0))&lt;=10, VLOOKUP(INDEX(TBL_DATA_01_Lot_Info[Cons_Max], MATCH(1, (TBL_DATA_00_Doc_Merge[[#This Row],[Lot]]=TBL_DATA_01_Lot_Info[Lot])*("Yes"=TBL_DATA_01_Lot_Info[Include?]), 0)), TBL_REF_01_Number[], 2, FALSE), INDEX(TBL_DATA_01_Lot_Info[Cons_Max], MATCH(1, (TBL_DATA_00_Doc_Merge[[#This Row],[Lot]]=TBL_DATA_01_Lot_Info[Lot])*("Yes"=TBL_DATA_01_Lot_Info[Include?]), 0))), "N/A")</f>
        <v>N/A</v>
      </c>
      <c r="AZ3" s="396" t="s">
        <v>24</v>
      </c>
      <c r="BA3" s="396" t="s">
        <v>24</v>
      </c>
      <c r="BB3" s="396" t="s">
        <v>24</v>
      </c>
      <c r="BC3" s="396" t="s">
        <v>24</v>
      </c>
      <c r="BD3" s="396" t="s">
        <v>24</v>
      </c>
      <c r="BE3" s="396" t="s">
        <v>24</v>
      </c>
      <c r="BF3" s="396" t="s">
        <v>24</v>
      </c>
      <c r="BG3" s="396" t="s">
        <v>24</v>
      </c>
      <c r="BH3" s="396" t="s">
        <v>24</v>
      </c>
      <c r="BI3" s="396" t="s">
        <v>24</v>
      </c>
      <c r="BJ3" s="396" t="s">
        <v>24</v>
      </c>
      <c r="BK3" s="396" t="s">
        <v>24</v>
      </c>
      <c r="BL3" s="396" t="s">
        <v>24</v>
      </c>
      <c r="BM3" s="396" t="s">
        <v>24</v>
      </c>
      <c r="BN3" s="396" t="s">
        <v>24</v>
      </c>
      <c r="BO3" s="396" t="s">
        <v>24</v>
      </c>
      <c r="BP3" s="396" t="s">
        <v>24</v>
      </c>
      <c r="BQ3" s="396" t="s">
        <v>24</v>
      </c>
      <c r="BR3" s="396" t="s">
        <v>24</v>
      </c>
      <c r="BS3" s="396" t="s">
        <v>24</v>
      </c>
      <c r="BT3" s="396" t="s">
        <v>24</v>
      </c>
      <c r="BU3" s="396" t="s">
        <v>24</v>
      </c>
      <c r="BV3" s="396" t="s">
        <v>24</v>
      </c>
      <c r="BW3" s="396" t="s">
        <v>24</v>
      </c>
      <c r="BX3" s="396" t="s">
        <v>24</v>
      </c>
      <c r="BY3" s="396" t="s">
        <v>24</v>
      </c>
      <c r="BZ3" s="396" t="s">
        <v>24</v>
      </c>
      <c r="CA3" s="396" t="s">
        <v>24</v>
      </c>
      <c r="CB3" s="396" t="s">
        <v>24</v>
      </c>
      <c r="CC3" s="396" t="s">
        <v>24</v>
      </c>
      <c r="CD3" s="396" t="s">
        <v>24</v>
      </c>
      <c r="CE3" s="396" t="s">
        <v>24</v>
      </c>
      <c r="CF3" s="396" t="s">
        <v>24</v>
      </c>
      <c r="CG3" s="396" t="s">
        <v>24</v>
      </c>
      <c r="CH3" s="396" t="s">
        <v>24</v>
      </c>
      <c r="CI3" s="396" t="s">
        <v>24</v>
      </c>
      <c r="CJ3" s="396" t="s">
        <v>24</v>
      </c>
      <c r="CK3" s="396" t="s">
        <v>24</v>
      </c>
      <c r="CL3" s="396" t="s">
        <v>24</v>
      </c>
      <c r="CM3" s="396" t="s">
        <v>24</v>
      </c>
      <c r="CN3" s="396" t="s">
        <v>24</v>
      </c>
      <c r="CO3" s="396" t="s">
        <v>24</v>
      </c>
      <c r="CP3" s="396" t="s">
        <v>24</v>
      </c>
      <c r="CQ3" s="396" t="s">
        <v>24</v>
      </c>
      <c r="CR3" s="396" t="s">
        <v>24</v>
      </c>
      <c r="CS3" s="396" t="s">
        <v>24</v>
      </c>
      <c r="CT3" s="396" t="s">
        <v>24</v>
      </c>
      <c r="CU3" s="396" t="s">
        <v>24</v>
      </c>
      <c r="CV3" s="396" t="s">
        <v>24</v>
      </c>
      <c r="CW3" s="396" t="s">
        <v>24</v>
      </c>
      <c r="CX3" s="396" t="s">
        <v>24</v>
      </c>
      <c r="CY3" s="396" t="s">
        <v>24</v>
      </c>
      <c r="CZ3" s="396" t="s">
        <v>24</v>
      </c>
      <c r="DA3" s="396" t="s">
        <v>24</v>
      </c>
      <c r="DB3" s="396" t="s">
        <v>24</v>
      </c>
      <c r="DC3" s="396" t="s">
        <v>24</v>
      </c>
      <c r="DD3" s="396" t="s">
        <v>24</v>
      </c>
      <c r="DE3" s="396" t="s">
        <v>24</v>
      </c>
      <c r="DF3" s="396" t="s">
        <v>24</v>
      </c>
      <c r="DG3" s="396" t="s">
        <v>24</v>
      </c>
      <c r="DH3" s="396" t="s">
        <v>24</v>
      </c>
      <c r="DI3" s="396" t="s">
        <v>24</v>
      </c>
      <c r="DJ3" s="396" t="s">
        <v>24</v>
      </c>
      <c r="DK3" s="396" t="s">
        <v>24</v>
      </c>
      <c r="DL3" s="396" t="str">
        <f>IF(TBL_DATA_00_Doc_Merge[[#This Row],[Doc_Type]]="Selection", "Candidate", IF(TBL_DATA_00_Doc_Merge[[#This Row],[Doc_Type]]="Open", "Supplier", "Tenderer"))</f>
        <v>Supplier</v>
      </c>
      <c r="DM3" s="396" t="str">
        <f>TEXT(Dates!$H$50, "MMMM, YYYY")</f>
        <v>January, 1900</v>
      </c>
      <c r="DN3" s="396" t="str">
        <f t="array" ref="DN3">IFERROR(INDEX(TBL_ADD_02_Project_Info[Response], MATCH(1, ("All"=TBL_ADD_02_Project_Info[Lot])*("Value_type"=TBL_ADD_02_Project_Info[Ref]), 0)), "N/A")</f>
        <v>Single figure</v>
      </c>
      <c r="DO3" s="396" t="str">
        <f t="array" ref="DO3">IFERROR(TEXT(INDEX(TBL_ADD_02_Project_Info[Response], MATCH(1, ("All"=TBL_ADD_02_Project_Info[Lot])*("Value_Max"=TBL_ADD_02_Project_Info[Ref]), 0)), "£ #,###.00"), "N/A")</f>
        <v>£ 56,000,000.00</v>
      </c>
      <c r="DP3" s="396" t="str">
        <f t="array" ref="DP3">IFERROR(TEXT(INDEX(TBL_ADD_02_Project_Info[Response], MATCH(1, ("All"=TBL_ADD_02_Project_Info[Lot])*("Value_Min"=TBL_ADD_02_Project_Info[Ref]), 0)), "£ #,###.00"), "N/A")</f>
        <v>£ .00</v>
      </c>
      <c r="DQ3" s="396" t="str">
        <f>IF('Project Info'!$K$56&gt;=11, 'Project Info'!$K$56, VLOOKUP('Project Info'!$K$56, TBL_REF_01_Number[], 2, FALSE))</f>
        <v>four</v>
      </c>
      <c r="DR3" s="360" t="str">
        <f>IF('Project Info'!$K$57&gt;=11, 'Project Info'!$K$57, VLOOKUP('Project Info'!$K$57, TBL_REF_01_Number[], 2, FALSE))</f>
        <v>four</v>
      </c>
      <c r="DS3" s="360" t="str">
        <f>IF('Project Info'!$K$38="Other (please provide info)", 'Project Info'!$L$38, 'Project Info'!$K$39)</f>
        <v>JCT Measured Term Contract (2016) published by The Joint Contracts Tribunal (JCT)</v>
      </c>
      <c r="DT3" s="360" t="str">
        <f>'Project Info'!$K$41</f>
        <v>Contract Administrator</v>
      </c>
      <c r="DU3" s="360" t="str">
        <f>'Project Info'!$L$41</f>
        <v>CA</v>
      </c>
      <c r="DV3" s="360" t="str">
        <f>SUBSTITUTE('Project Info'!$K$48, "s", "")</f>
        <v>year</v>
      </c>
      <c r="DW3" s="360" t="str">
        <f>IF('Project Info'!$K$49&gt;10, 'Project Info'!$K$49, VLOOKUP('Project Info'!$K$49, TBL_REF_01_Number[], 2, FALSE))&amp;" "&amp;IF('Project Info'!$K$49&gt;1, TBL_DATA_00_Doc_Merge[[#This Row],[Duration_type]]&amp;"s", TBL_DATA_00_Doc_Merge[[#This Row],[Duration_type]])</f>
        <v>four years</v>
      </c>
      <c r="DX3" s="360" t="str">
        <f>IF('Project Info'!$K$50&gt;10, 'Project Info'!$K$50, VLOOKUP('Project Info'!$K$50, TBL_REF_01_Number[], 2, FALSE))&amp;" "&amp;IF('Project Info'!$K$50&gt;1, TBL_DATA_00_Doc_Merge[[#This Row],[Duration_type]]&amp;"s", TBL_DATA_00_Doc_Merge[[#This Row],[Duration_type]])</f>
        <v>seven years</v>
      </c>
      <c r="DY3" s="360" t="str">
        <f>IF('Project Info'!$K$50='Project Info'!$K$49, "N/A", IF('Project Info'!$K$50-'Project Info'!$K$49&gt;10, 'Project Info'!$K$50-'Project Info'!$K$49&amp;" "&amp;TBL_DATA_00_Doc_Merge[[#This Row],[Duration_type]]&amp;"s", VLOOKUP('Project Info'!$K$50-'Project Info'!$K$49, TBL_REF_01_Number[], 2, FALSE))&amp;" "&amp;IF('Project Info'!$K$50-'Project Info'!$K$49&gt;1, TBL_DATA_00_Doc_Merge[[#This Row],[Duration_type]]&amp;"s", TBL_DATA_00_Doc_Merge[[#This Row],[Duration_type]]))</f>
        <v>three years</v>
      </c>
      <c r="DZ3" s="360" t="str">
        <f>'Project Info'!$K$34</f>
        <v>approximately</v>
      </c>
      <c r="EA3" s="393">
        <f>IF('Project Info'!$K$33&gt;10, 'Project Info'!$K$33, VLOOKUP('Project Info'!$K$33, TBL_REF_01_Number[], 2, FALSE))</f>
        <v>20500</v>
      </c>
      <c r="EB3" s="392" t="str">
        <f>'Project Info'!$K$32</f>
        <v>properties</v>
      </c>
      <c r="EC3" s="392" t="str">
        <f t="shared" si="3"/>
        <v>Yes</v>
      </c>
      <c r="ED3" s="392">
        <f t="shared" si="4"/>
        <v>50</v>
      </c>
      <c r="EE3" s="392">
        <f t="shared" si="5"/>
        <v>50</v>
      </c>
      <c r="EF3" s="360" t="str">
        <f t="shared" si="6"/>
        <v>Not applicable</v>
      </c>
      <c r="EG3" s="396">
        <f t="shared" si="7"/>
        <v>5</v>
      </c>
      <c r="EH3" s="396" t="str">
        <f t="shared" si="8"/>
        <v>Yes</v>
      </c>
      <c r="EI3" s="396">
        <f t="shared" si="9"/>
        <v>0</v>
      </c>
      <c r="EJ3" s="396">
        <f t="shared" si="10"/>
        <v>0</v>
      </c>
      <c r="EK3" s="396">
        <f t="shared" si="11"/>
        <v>0</v>
      </c>
      <c r="EL3" s="396" t="str">
        <f t="shared" si="12"/>
        <v>No</v>
      </c>
      <c r="EM3" s="396" t="str">
        <f t="shared" si="13"/>
        <v>Consensus</v>
      </c>
      <c r="EN3" s="396" t="str">
        <f t="shared" si="14"/>
        <v>No</v>
      </c>
      <c r="EO3" s="392">
        <f t="shared" si="15"/>
        <v>0</v>
      </c>
      <c r="EP3" s="365">
        <f t="shared" si="16"/>
        <v>0</v>
      </c>
      <c r="EQ3" s="392" t="str">
        <f t="shared" si="17"/>
        <v>Yes</v>
      </c>
      <c r="ER3" s="392">
        <f t="shared" si="18"/>
        <v>50</v>
      </c>
      <c r="ES3" s="392" t="str">
        <f t="shared" si="19"/>
        <v>Consensus</v>
      </c>
      <c r="ET3" s="392" t="str">
        <f t="shared" si="20"/>
        <v>Yes</v>
      </c>
      <c r="EU3" s="392">
        <f t="shared" si="21"/>
        <v>0</v>
      </c>
      <c r="EV3" s="392">
        <f t="shared" si="22"/>
        <v>0</v>
      </c>
      <c r="EW3" s="392">
        <f t="shared" si="23"/>
        <v>0</v>
      </c>
      <c r="EX3" s="392">
        <f t="shared" si="24"/>
        <v>0</v>
      </c>
      <c r="EY3" s="392">
        <f t="shared" si="25"/>
        <v>0</v>
      </c>
      <c r="EZ3" s="396">
        <f t="shared" si="26"/>
        <v>0</v>
      </c>
      <c r="FA3" s="396" t="str">
        <f>IF('Project Info'!$K$86&gt;11, 'Project Info'!$K$86, VLOOKUP('Project Info'!$K$86, TBL_REF_01_Number[], 2, FALSE))</f>
        <v>zero</v>
      </c>
      <c r="FB3" s="396" t="str">
        <f>IF('Project Info'!$K$87&gt;11, 'Project Info'!$K$87, VLOOKUP('Project Info'!$K$87, TBL_REF_01_Number[], 2, FALSE))</f>
        <v>zero</v>
      </c>
      <c r="FC3" s="396" t="str">
        <f>IF('Project Info'!$K$89&gt;11, 'Project Info'!$K$89, VLOOKUP('Project Info'!$K$89, TBL_REF_01_Number[], 2, FALSE))</f>
        <v>zero</v>
      </c>
      <c r="FD3" s="396" t="str">
        <f>IF('Project Info'!$K$90&gt;11, 'Project Info'!$K$90, VLOOKUP('Project Info'!$K$90, TBL_REF_01_Number[], 2, FALSE))</f>
        <v>zero</v>
      </c>
      <c r="FE3" s="396" t="str">
        <f>IF('Project Info'!$K$92&gt;11, 'Project Info'!$K$92, VLOOKUP('Project Info'!$K$92, TBL_REF_01_Number[], 2, FALSE))</f>
        <v>zero</v>
      </c>
      <c r="FF3" s="396" t="str">
        <f>IF('Project Info'!$K$93&gt;11, 'Project Info'!$K$93, VLOOKUP('Project Info'!$K$93, TBL_REF_01_Number[], 2, FALSE))</f>
        <v>zero</v>
      </c>
      <c r="FG3" s="396" t="str">
        <f t="array" ref="FG3">IFERROR(INDEX(TBL_DATA_02_Q_Info[Select_Points], MATCH(1, (TBL_DATA_02_Q_Info[Lot]=IF(REF_Select_1_Qs="Yes", "All", "Lot_1"))*(TBL_DATA_02_Q_Info[Include?]="Yes"), 0)), "N/A")</f>
        <v>N/A</v>
      </c>
      <c r="FH3" s="392" t="s">
        <v>24</v>
      </c>
      <c r="FI3" s="392" t="s">
        <v>24</v>
      </c>
      <c r="FJ3" s="392" t="s">
        <v>24</v>
      </c>
      <c r="FK3" s="392" t="s">
        <v>24</v>
      </c>
      <c r="FL3" s="392" t="s">
        <v>24</v>
      </c>
      <c r="FM3" s="396" t="str">
        <f t="array" ref="FM3">IFERROR(INDEX(TBL_DATA_02_Q_Info[Tech_Points], MATCH(1, (TBL_DATA_02_Q_Info[Lot]=IF(REF_Tech_1_Qs="Yes", "All", "Lot_1"))*(TBL_DATA_02_Q_Info[Include?]="Yes"), 0)), "N/A")</f>
        <v>N/A</v>
      </c>
      <c r="FN3" s="392" t="s">
        <v>24</v>
      </c>
      <c r="FO3" s="396" t="s">
        <v>24</v>
      </c>
      <c r="FP3" s="396" t="s">
        <v>24</v>
      </c>
      <c r="FQ3" s="396" t="s">
        <v>24</v>
      </c>
      <c r="FR3" s="396" t="s">
        <v>24</v>
      </c>
      <c r="FS3" s="396" t="str">
        <f t="array" ref="FS3">IFERROR(INDEX(TBL_DATA_02_Q_Info[IntSV_Points], MATCH(1, (TBL_DATA_02_Q_Info[Lot]=IF(REF_IntSV_1_Qs="Yes", "All", "Lot_1"))*(TBL_DATA_02_Q_Info[Include?]="Yes"), 0)), "N/A")</f>
        <v>N/A</v>
      </c>
      <c r="FT3" s="392" t="s">
        <v>24</v>
      </c>
      <c r="FU3" s="396" t="s">
        <v>24</v>
      </c>
      <c r="FV3" s="396" t="s">
        <v>24</v>
      </c>
      <c r="FW3" s="396" t="s">
        <v>24</v>
      </c>
      <c r="FX3" s="396" t="s">
        <v>24</v>
      </c>
      <c r="FY3" s="396" t="str">
        <f t="array" ref="FY3">IFERROR(INDEX(TBL_DATA_02_Q_Info[Select_Min], MATCH(1, (TBL_DATA_02_Q_Info[Lot]=IF(REF_Select_1_Qs="Yes", "All", "Lot_1"))*(TBL_DATA_02_Q_Info[Include?]="Yes"), 0)), "N/A")</f>
        <v>N/A</v>
      </c>
      <c r="FZ3" s="392" t="s">
        <v>24</v>
      </c>
      <c r="GA3" s="396" t="s">
        <v>24</v>
      </c>
      <c r="GB3" s="396" t="s">
        <v>24</v>
      </c>
      <c r="GC3" s="396" t="s">
        <v>24</v>
      </c>
      <c r="GD3" s="396" t="s">
        <v>24</v>
      </c>
      <c r="GE3" s="396" t="str">
        <f>IF(TBL_DATA_00_Doc_Merge[[#This Row],[Limit_Wins]]="Yes", IF('Project Info'!$K$59&lt;=10, VLOOKUP('Project Info'!$K$59, TBL_REF_01_Number[], 2, FALSE), 'Project Info'!$K$59), "N/A")</f>
        <v>N/A</v>
      </c>
      <c r="GF3" s="360" t="s">
        <v>2227</v>
      </c>
      <c r="GG3" s="392" t="str">
        <f>'Project Info'!$K$43</f>
        <v>No</v>
      </c>
      <c r="GH3" s="392">
        <f>'Project Info'!$K$44</f>
        <v>0</v>
      </c>
      <c r="GI3" s="394">
        <f>'Project Info'!$K$62</f>
        <v>10000000</v>
      </c>
      <c r="GJ3" s="394">
        <f>'Project Info'!$K$63</f>
        <v>10000000</v>
      </c>
      <c r="GK3" s="394">
        <f>'Project Info'!$K$64</f>
        <v>2000000</v>
      </c>
      <c r="GL3" s="394">
        <f>'Project Info'!$K$65</f>
        <v>0</v>
      </c>
      <c r="GM3" s="397" t="str">
        <f t="array" ref="GM3">TEXT(INDEX(TBL_ADD_03_Dates[Date], MATCH(1, ("Select"=TBL_ADD_03_Dates[Stage])*("Clarification"=TBL_ADD_03_Dates[Activity]),0)), "d MMMM YYYY")</f>
        <v/>
      </c>
      <c r="GN3" s="397" t="str">
        <f t="array" ref="GN3">TEXT(INDEX(TBL_ADD_03_Dates[Date], MATCH(1, ("Select"=TBL_ADD_03_Dates[Stage])*("Return"=TBL_ADD_03_Dates[Activity]),0)), "d MMMM YYYY")</f>
        <v/>
      </c>
      <c r="GO3" s="397" t="str">
        <f t="array" ref="GO3">IF(INDEX(TBL_ADD_03_Dates[Date], MATCH(1, ("Select"=TBL_ADD_03_Dates[Stage])*("Time"=TBL_ADD_03_Dates[Activity]),0))=0.5,"12:00 noon",IF(INDEX(TBL_ADD_03_Dates[Date], MATCH(1, ("Select"=TBL_ADD_03_Dates[Stage])*("Time"=TBL_ADD_03_Dates[Activity]),0))&lt;0.5, CONCATENATE(HOUR(INDEX(TBL_ADD_03_Dates[Date], MATCH(1, ("Select"=TBL_ADD_03_Dates[Stage])*("Time"=TBL_ADD_03_Dates[Activity]),0))), ":00 am"),CONCATENATE((HOUR(INDEX(TBL_ADD_03_Dates[Date], MATCH(1, ("Select"=TBL_ADD_03_Dates[Stage])*("Time"=TBL_ADD_03_Dates[Activity]),0)))-12), ":00 pm")))</f>
        <v>0:00 am</v>
      </c>
      <c r="GP3" s="397" t="str">
        <f t="array" ref="GP3">TEXT(INDEX(TBL_ADD_03_Dates[Date], MATCH(1, ("Tender"=TBL_ADD_03_Dates[Stage])*("Issue"=TBL_ADD_03_Dates[Activity]),0)), "d MMMM YYYY")</f>
        <v>0 January 1900</v>
      </c>
      <c r="GQ3" s="397" t="str">
        <f t="array" ref="GQ3">TEXT(INDEX(TBL_ADD_03_Dates[Date], MATCH(1, ("Tender"=TBL_ADD_03_Dates[Stage])*("Clarification"=TBL_ADD_03_Dates[Activity]),0)), "d MMMM YYYY")</f>
        <v/>
      </c>
      <c r="GR3" s="397" t="str">
        <f t="array" ref="GR3">TEXT(INDEX(TBL_ADD_03_Dates[Date], MATCH(1, ("Tender"=TBL_ADD_03_Dates[Stage])*("Return"=TBL_ADD_03_Dates[Activity]),0)), "d MMMM YYYY")</f>
        <v/>
      </c>
      <c r="GS3" s="397" t="str">
        <f t="array" ref="GS3">IF(INDEX(TBL_ADD_03_Dates[Date], MATCH(1, ("Tender"=TBL_ADD_03_Dates[Stage])*("Time"=TBL_ADD_03_Dates[Activity]),0))=0.5,"12:00 noon",IF(INDEX(TBL_ADD_03_Dates[Date], MATCH(1, ("Tender"=TBL_ADD_03_Dates[Stage])*("Time"=TBL_ADD_03_Dates[Activity]),0))&lt;0.5, CONCATENATE(HOUR(INDEX(TBL_ADD_03_Dates[Date], MATCH(1, ("Tender"=TBL_ADD_03_Dates[Stage])*("Time"=TBL_ADD_03_Dates[Activity]),0))), ":00 am"),CONCATENATE((HOUR(INDEX(TBL_ADD_03_Dates[Date], MATCH(1, ("Tender"=TBL_ADD_03_Dates[Stage])*("Time"=TBL_ADD_03_Dates[Activity]),0)))-12), ":00 pm")))</f>
        <v>0:00 am</v>
      </c>
      <c r="GT3" s="397" t="str">
        <f t="array" ref="GT3">TEXT(INDEX(TBL_ADD_03_Dates[Date], MATCH(1, ("Tender"=TBL_ADD_03_Dates[Stage])*("IntSV_Advise"=TBL_ADD_03_Dates[Activity]),0)), "d MMMM YYYY")</f>
        <v>0 January 1900</v>
      </c>
      <c r="GU3" s="397">
        <f t="array" ref="GU3">INDEX(TBL_ADD_03_Dates[Date], MATCH(1, ("Tender"=TBL_ADD_03_Dates[Stage])*("IntSV_Start"=TBL_ADD_03_Dates[Activity]),0))</f>
        <v>0</v>
      </c>
      <c r="GV3" s="397">
        <f t="array" ref="GV3">INDEX(TBL_ADD_03_Dates[Date], MATCH(1, ("Tender"=TBL_ADD_03_Dates[Stage])*("IntSV_End"=TBL_ADD_03_Dates[Activity]),0))</f>
        <v>0</v>
      </c>
      <c r="GW3" s="391" t="str">
        <f>IF(TBL_DATA_00_Doc_Merge[[#This Row],[IntSV_Start]]=TBL_DATA_00_Doc_Merge[[#This Row],[IntSV_End]], CONCATENATE("on ", TEXT(TBL_DATA_00_Doc_Merge[[#This Row],[IntSV_Start]], "DDDD"), " ", DAY(TBL_DATA_00_Doc_Merge[[#This Row],[IntSV_Start]]),"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"")&lt;&gt;"", CONCATENATE("between ", TEXT(TBL_DATA_00_Doc_Merge[[#This Row],[IntSV_Start]], "DDDD"), " ", DAY(TBL_DATA_00_Doc_Merge[[#This Row],[IntSV_Start]]), " and ", TEXT(TBL_DATA_00_Doc_Merge[[#This Row],[IntSV_End]], "DDDD"), " ", DAY(TBL_DATA_00_Doc_Merge[[#This Row],[IntSV_End]]),"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IF(YEAR(TBL_DATA_00_Doc_Merge[[#This Row],[IntSV_Start]])=YEAR(TBL_DATA_00_Doc_Merge[[#This Row],[IntSV_End]]), CONCATENATE("between ", TEXT(TBL_DATA_00_Doc_Merge[[#This Row],[IntSV_Start]], "DDDD"), " ", DAY(TBL_DATA_00_Doc_Merge[[#This Row],[IntSV_Start]]), " ", TEXT(TBL_DATA_00_Doc_Merge[[#This Row],[IntSV_Start]], "MMMM"), " and ", TEXT(TBL_DATA_00_Doc_Merge[[#This Row],[IntSV_End]], "DDDD"), " ", DAY(TBL_DATA_00_Doc_Merge[[#This Row],[IntSV_End]])," ",  TEXT(TBL_DATA_00_Doc_Merge[[#This Row],[IntSV_End]], "MMMM")," ",YEAR(TBL_DATA_00_Doc_Merge[[#This Row],[IntSV_End]])), CONCATENATE("between ", TEXT(TBL_DATA_00_Doc_Merge[[#This Row],[IntSV_Start]], "DDDD"), " ", DAY(TBL_DATA_00_Doc_Merge[[#This Row],[IntSV_Start]]), " ", TEXT(TBL_DATA_00_Doc_Merge[[#This Row],[IntSV_Start]], "MMMM")," ", YEAR(TBL_DATA_00_Doc_Merge[[#This Row],[IntSV_Start]]), " and ", TEXT(TBL_DATA_00_Doc_Merge[[#This Row],[IntSV_End]], "DDDD"), " ", DAY(TBL_DATA_00_Doc_Merge[[#This Row],[IntSV_End]])," ",  TEXT(TBL_DATA_00_Doc_Merge[[#This Row],[IntSV_End]], "MMMM")," ",YEAR(TBL_DATA_00_Doc_Merge[[#This Row],[IntSV_End]])))))</f>
        <v>on Saturday 0 January 1900</v>
      </c>
      <c r="GX3" s="397">
        <f t="array" ref="GX3">INDEX(TBL_ADD_03_Dates[Date], MATCH(1, ("Neg"=TBL_ADD_03_Dates[Stage])*("Start"=TBL_ADD_03_Dates[Activity]),0))</f>
        <v>0</v>
      </c>
      <c r="GY3" s="397">
        <f t="array" ref="GY3">INDEX(TBL_ADD_03_Dates[Date], MATCH(1, ("Neg"=TBL_ADD_03_Dates[Stage])*("End"=TBL_ADD_03_Dates[Activity]),0))</f>
        <v>0</v>
      </c>
      <c r="GZ3" s="397" t="str">
        <f>IF(TBL_DATA_00_Doc_Merge[[#This Row],[Neg_Start]]=TBL_DATA_00_Doc_Merge[[#This Row],[Neg_End]], CONCATENATE("on ", TEXT(TBL_DATA_00_Doc_Merge[[#This Row],[Neg_Start]], "DDDD"), " ", DAY(TBL_DATA_00_Doc_Merge[[#This Row],[Neg_Start]]),"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IF(IF(AND(MONTH(TBL_DATA_00_Doc_Merge[[#This Row],[Neg_Start]])=MONTH(TBL_DATA_00_Doc_Merge[[#This Row],[Neg_End]]), YEAR(TBL_DATA_00_Doc_Merge[[#This Row],[Neg_Start]])=YEAR(TBL_DATA_00_Doc_Merge[[#This Row],[Neg_End]])), CONCATENATE(TEXT(TBL_DATA_00_Doc_Merge[[#This Row],[Neg_Start]], "MMMM"), " ", YEAR(TBL_DATA_00_Doc_Merge[[#This Row],[Neg_Start]])), "")&lt;&gt;"", CONCATENATE("between ", TEXT(TBL_DATA_00_Doc_Merge[[#This Row],[Neg_Start]], "DDDD"), " ", DAY(TBL_DATA_00_Doc_Merge[[#This Row],[Neg_Start]]), " and ", TEXT(TBL_DATA_00_Doc_Merge[[#This Row],[Neg_End]], "DDDD"), " ", DAY(TBL_DATA_00_Doc_Merge[[#This Row],[Neg_End]]),"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IF(YEAR(TBL_DATA_00_Doc_Merge[[#This Row],[Neg_Start]])=YEAR(TBL_DATA_00_Doc_Merge[[#This Row],[Neg_End]]), CONCATENATE("between ", TEXT(TBL_DATA_00_Doc_Merge[[#This Row],[Neg_Start]], "DDDD"), " ", DAY(TBL_DATA_00_Doc_Merge[[#This Row],[Neg_Start]]), " ", TEXT(TBL_DATA_00_Doc_Merge[[#This Row],[Neg_Start]], "MMMM"), " and ", TEXT(TBL_DATA_00_Doc_Merge[[#This Row],[Neg_End]], "DDDD"), " ", DAY(TBL_DATA_00_Doc_Merge[[#This Row],[Neg_End]])," ",  TEXT(TBL_DATA_00_Doc_Merge[[#This Row],[Neg_End]], "MMMM")," ",YEAR(TBL_DATA_00_Doc_Merge[[#This Row],[Neg_End]])), CONCATENATE("between ", TEXT(TBL_DATA_00_Doc_Merge[[#This Row],[Neg_Start]], "DDDD"), " ", DAY(TBL_DATA_00_Doc_Merge[[#This Row],[Neg_Start]]), " ", TEXT(TBL_DATA_00_Doc_Merge[[#This Row],[Neg_Start]], "MMMM")," ", YEAR(TBL_DATA_00_Doc_Merge[[#This Row],[Neg_Start]]), " and ", TEXT(TBL_DATA_00_Doc_Merge[[#This Row],[Neg_End]], "DDDD"), " ", DAY(TBL_DATA_00_Doc_Merge[[#This Row],[Neg_End]])," ",  TEXT(TBL_DATA_00_Doc_Merge[[#This Row],[Neg_End]], "MMMM")," ",YEAR(TBL_DATA_00_Doc_Merge[[#This Row],[Neg_End]])))))</f>
        <v>on Saturday 0 January 1900</v>
      </c>
      <c r="HA3" s="397"/>
      <c r="HB3" s="397" t="str">
        <f t="array" ref="HB3">TEXT(INDEX(TBL_ADD_03_Dates[Date], MATCH(1, ("Final"=TBL_ADD_03_Dates[Stage])*("Clarification"=TBL_ADD_03_Dates[Activity]),0)), "d MMMM YYYY")</f>
        <v/>
      </c>
      <c r="HC3" s="397" t="str">
        <f t="array" ref="HC3">TEXT(INDEX(TBL_ADD_03_Dates[Date], MATCH(1, ("Final"=TBL_ADD_03_Dates[Stage])*("Return"=TBL_ADD_03_Dates[Activity]),0)), "d MMMM YYYY")</f>
        <v/>
      </c>
      <c r="HD3" s="397" t="str">
        <f t="array" ref="HD3">IF(INDEX(TBL_ADD_03_Dates[Date], MATCH(1, ("Final"=TBL_ADD_03_Dates[Stage])*("Time"=TBL_ADD_03_Dates[Activity]),0))=0.5,"12:00 noon",IF(INDEX(TBL_ADD_03_Dates[Date], MATCH(1, ("Final"=TBL_ADD_03_Dates[Stage])*("Time"=TBL_ADD_03_Dates[Activity]),0))&lt;0.5, CONCATENATE(HOUR(INDEX(TBL_ADD_03_Dates[Date], MATCH(1, ("Final"=TBL_ADD_03_Dates[Stage])*("Time"=TBL_ADD_03_Dates[Activity]),0))), ":00 am"),CONCATENATE((HOUR(INDEX(TBL_ADD_03_Dates[Date], MATCH(1, ("Final"=TBL_ADD_03_Dates[Stage])*("Time"=TBL_ADD_03_Dates[Activity]),0)))-12), ":00 pm")))</f>
        <v>0:00 am</v>
      </c>
      <c r="HE3" s="397" t="str">
        <f t="array" ref="HE3">TEXT(INDEX(TBL_ADD_03_Dates[Date], MATCH(1, ("Final"=TBL_ADD_03_Dates[Stage])*("IntSV_Advise"=TBL_ADD_03_Dates[Activity]),0)), "d MMMM YYYY")</f>
        <v>0 January 1900</v>
      </c>
      <c r="HF3" s="397">
        <f t="array" ref="HF3">INDEX(TBL_ADD_03_Dates[Date], MATCH(1, ("Final"=TBL_ADD_03_Dates[Stage])*("IntSV_Start"=TBL_ADD_03_Dates[Activity]),0))</f>
        <v>0</v>
      </c>
      <c r="HG3" s="397">
        <f t="array" ref="HG3">INDEX(TBL_ADD_03_Dates[Date], MATCH(1, ("Final"=TBL_ADD_03_Dates[Stage])*("IntSV_End"=TBL_ADD_03_Dates[Activity]),0))</f>
        <v>0</v>
      </c>
      <c r="HH3" s="391" t="str">
        <f>IF(TBL_DATA_00_Doc_Merge[[#This Row],[Final_IntSV_Start]]=TBL_DATA_00_Doc_Merge[[#This Row],[Final_IntSV_End]], CONCATENATE("on ", TEXT(TBL_DATA_00_Doc_Merge[[#This Row],[Final_IntSV_Start]], "DDDD"), " ", DAY(TBL_DATA_00_Doc_Merge[[#This Row],[Final_IntSV_Start]]),"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"")&lt;&gt;"", CONCATENATE("between ", TEXT(TBL_DATA_00_Doc_Merge[[#This Row],[Final_IntSV_Start]], "DDDD"), " ", DAY(TBL_DATA_00_Doc_Merge[[#This Row],[Final_IntSV_Start]]), " and ", TEXT(TBL_DATA_00_Doc_Merge[[#This Row],[Final_IntSV_End]], "DDDD"), " ", DAY(TBL_DATA_00_Doc_Merge[[#This Row],[Final_IntSV_End]]),"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IF(YEAR(TBL_DATA_00_Doc_Merge[[#This Row],[Final_IntSV_Start]])=YEAR(TBL_DATA_00_Doc_Merge[[#This Row],[Final_IntSV_End]]), CONCATENATE("between ", TEXT(TBL_DATA_00_Doc_Merge[[#This Row],[Final_IntSV_Start]], "DDDD"), " ", DAY(TBL_DATA_00_Doc_Merge[[#This Row],[Final_IntSV_Start]]), " ", TEXT(TBL_DATA_00_Doc_Merge[[#This Row],[Final_IntSV_Start]], "MMMM"), " and ", TEXT(TBL_DATA_00_Doc_Merge[[#This Row],[Final_IntSV_End]], "DDDD"), " ", DAY(TBL_DATA_00_Doc_Merge[[#This Row],[Final_IntSV_End]])," ",  TEXT(TBL_DATA_00_Doc_Merge[[#This Row],[Final_IntSV_End]], "MMMM")," ",YEAR(TBL_DATA_00_Doc_Merge[[#This Row],[Final_IntSV_End]])), CONCATENATE("between ", TEXT(TBL_DATA_00_Doc_Merge[[#This Row],[Final_IntSV_Start]], "DDDD"), " ", DAY(TBL_DATA_00_Doc_Merge[[#This Row],[Final_IntSV_Start]]), " ", TEXT(TBL_DATA_00_Doc_Merge[[#This Row],[Final_IntSV_Start]], "MMMM")," ", YEAR(TBL_DATA_00_Doc_Merge[[#This Row],[Final_IntSV_Start]]), " and ", TEXT(TBL_DATA_00_Doc_Merge[[#This Row],[Final_IntSV_End]], "DDDD"), " ", DAY(TBL_DATA_00_Doc_Merge[[#This Row],[Final_IntSV_End]])," ",  TEXT(TBL_DATA_00_Doc_Merge[[#This Row],[Final_IntSV_End]], "MMMM")," ",YEAR(TBL_DATA_00_Doc_Merge[[#This Row],[Final_IntSV_End]])))))</f>
        <v>on Saturday 0 January 1900</v>
      </c>
      <c r="HI3" s="397">
        <f t="array" ref="HI3">INDEX(TBL_ADD_03_Dates[Date], MATCH(1, ("Award"=TBL_ADD_03_Dates[Stage])*("Award"=TBL_ADD_03_Dates[Activity]),0))</f>
        <v>0</v>
      </c>
      <c r="HJ3" s="396" t="str">
        <f>'Project Info'!$K$45</f>
        <v>Yes</v>
      </c>
      <c r="HK3" s="396" t="str">
        <f>IF(TBL_DATA_00_Doc_Merge[[#This Row],[Uplift]]="No","N/A", IF('Project Info'!$L$46&lt;&gt;"", 'Project Info'!$L$46, 'Project Info'!$K$46))</f>
        <v>CPI</v>
      </c>
      <c r="HL3" s="398">
        <f t="array" ref="HL3">IF(TBL_DATA_00_Doc_Merge[[#This Row],[Uplift]]="No", "N/A", INDEX(TBL_ADD_03_Dates[Date], MATCH(1, ("Uplift"=TBL_ADD_03_Dates[Stage])*("Uplift"=TBL_ADD_03_Dates[Activity]),0)))</f>
        <v>0</v>
      </c>
      <c r="HM3" s="396" t="e">
        <f>IF(TBL_DATA_00_Doc_Merge[[#This Row],[Uplift_date]]="N/A", CONCATENATE("the end of the ", TBL_DATA_00_Doc_Merge[[#This Row],[contract_or_fw]]), TEXT(TBL_DATA_00_Doc_Merge[[#This Row],[Uplift_date]]-1, "d MMMM yyyy"))</f>
        <v>#VALUE!</v>
      </c>
      <c r="HN3" s="396" t="e">
        <f>IF(#REF!="Section not applicable",  'Project Info'!$K$42,  "Yes")</f>
        <v>#REF!</v>
      </c>
      <c r="HO3" s="399" t="str">
        <f>IF(Response!$A$2&lt;&gt;"", Response!$A$2, "")</f>
        <v>Purdy Contracts Ltd</v>
      </c>
      <c r="HQ3" t="s">
        <v>2147</v>
      </c>
      <c r="HR3" s="4"/>
      <c r="HS3" s="1" t="s">
        <v>533</v>
      </c>
      <c r="HT3" s="4"/>
    </row>
    <row r="4" spans="1:228" ht="137.5" hidden="1">
      <c r="A4" s="396" t="s">
        <v>349</v>
      </c>
      <c r="B4" s="400" t="s">
        <v>341</v>
      </c>
      <c r="C4" s="390">
        <f>'Project Info'!$K$5</f>
        <v>0</v>
      </c>
      <c r="D4" s="360" t="str">
        <f>'Project Info'!$K$9</f>
        <v>Royal Borough of Greenwich</v>
      </c>
      <c r="E4" s="360" t="str">
        <f>'Project Info'!$K$10</f>
        <v>Royal Greenwich</v>
      </c>
      <c r="F4" s="360" t="str">
        <f>CONCATENATE('Project Info'!$K$7, " for ", TBL_DATA_00_Doc_Merge[[#This Row],[Lot_Ref]], " (", TBL_DATA_00_Doc_Merge[[#This Row],[Lot_1_Name]], ")")</f>
        <v>Major and Responsive Repairs and Void Refurbishment Contract for Lot 2 (N/A)</v>
      </c>
      <c r="G4" s="360" t="str">
        <f>'Project Info'!$K$8</f>
        <v>major and responsve repairs and void refurbishment works</v>
      </c>
      <c r="H4" s="360" t="str">
        <f>'Project Info'!$K$11</f>
        <v>The Woolwich Centre, 35 Wellington Street, Woolwich, SE18 6HQ.</v>
      </c>
      <c r="I4" s="360" t="str">
        <f>'Project Info'!$K$12</f>
        <v>Areas of Greenwich, Greenwich Peninsula, Charlton, Plumstead, Kidbrooke, Eltham, Woolwich, Thamesmead and Abbey Wood</v>
      </c>
      <c r="J4" s="360" t="str">
        <f>'Project Info'!$L$6</f>
        <v>JW</v>
      </c>
      <c r="K4" s="360" t="str">
        <f t="array" ref="K4">IF(INDEX(TBL_ADD_02_Project_Info[Response], MATCH(1, ("Author"=TBL_ADD_02_Project_Info[Ref])*("All"=TBL_ADD_02_Project_Info[Lot]), 0))&lt;&gt;"", INDEX(TBL_ADD_02_Project_Info[Response], MATCH(1, ("Author"=TBL_ADD_02_Project_Info[Ref])*("All"=TBL_ADD_02_Project_Info[Lot]), 0)), "Add on Eval Info")</f>
        <v>Julie Watts</v>
      </c>
      <c r="L4" s="360" t="str" cm="1">
        <f t="array" ref="L4">IF(INDEX(TBL_ADD_02_Project_Info[Response], MATCH(1, ("Office"=TBL_ADD_02_Project_Info[Ref])*("All"=TBL_ADD_02_Project_Info[Lot]), 0))&lt;&gt;"", INDEX(TBL_ADD_02_Project_Info[Response], MATCH(1, ("Office"=TBL_ADD_02_Project_Info[Ref])*("All"=TBL_ADD_02_Project_Info[Lot]), 0)), "Add on Eval Info")</f>
        <v>Orpington</v>
      </c>
      <c r="M4" s="360" t="str">
        <f>IF(TBL_DATA_00_Doc_Merge[[#This Row],[DOC_Office]]="Add on Eval Info", "Add on Eval Info", VLOOKUP(TBL_DATA_00_Doc_Merge[[#This Row],[DOC_Office]], TBL_REF_04_Offices[], 2, FALSE))</f>
        <v>Central Court, Knoll Rise, Orpington, BR6 0JA</v>
      </c>
      <c r="N4" s="360" t="str">
        <f>IF(TBL_DATA_00_Doc_Merge[[#This Row],[DOC_Office]]="Add on Eval Info", "Add on Eval Info", VLOOKUP(TBL_DATA_00_Doc_Merge[[#This Row],[DOC_Office]], TBL_REF_04_Offices[], 3, FALSE))</f>
        <v>01689 885 080</v>
      </c>
      <c r="O4" s="391" t="str">
        <f>IF(TBL_DATA_00_Doc_Merge[[#This Row],[Tender_Type]]="Final Tender", TEXT(Dates!$H$33, "d MMMM YYYY"), IF(OR( TBL_DATA_00_Doc_Merge[[#This Row],[Tender_Type]]="Initial Tender", TBL_DATA_00_Doc_Merge[[#This Row],[Tender_Type]]="Tender"), IF('Project Info'!$K$29="Draft", TEXT(Dates!$H$5, "d MMMM YYYY"), TEXT(Dates!$H$14, "d MMMM YYYY")), IF(TBL_DATA_00_Doc_Merge[[#This Row],[Procedure]]="Open Procedure", TEXT(Dates!$H$14, "d MMMM YYYY"), TEXT(Dates!$H$5, "d MMMM YYYY"))))</f>
        <v>0 January 1900</v>
      </c>
      <c r="P4" s="360" t="str">
        <f>'Project Info'!$K$14</f>
        <v>Open Procedure</v>
      </c>
      <c r="Q4" s="360" t="str">
        <f>IF(OR('Project Info'!$K$16="Greater than £4.5M", 'Project Info'!$K$16="Greater than £181K"), "Above", "Below")</f>
        <v>Below</v>
      </c>
      <c r="R4" s="360" t="str">
        <f>IF('Project Info'!$K$14="Open Procedure", "Open", IF('Project Info'!$K$28="SQ", "Selection", "Tender"))</f>
        <v>Open</v>
      </c>
      <c r="S4" s="360" t="str">
        <f>'Project Info'!$K$28</f>
        <v>Tender</v>
      </c>
      <c r="T4" s="360" t="str">
        <f>IF(TBL_DATA_00_Doc_Merge[[#This Row],[Doc_Type]]="Selection", $HQ$2, IF(TBL_DATA_00_Doc_Merge[[#This Row],[Doc_Type]]="Open", $HQ$2&amp;" and Tender", IF(TBL_DATA_00_Doc_Merge[[#This Row],[Tender_Type]]="Initial", $HQ$4&amp;"n Initial Tender", IF(TBL_DATA_00_Doc_Merge[[#This Row],[Tender_Type]]="Final", $HQ$4&amp;"Final Tender", $HQ$3))))</f>
        <v>Request to Participate and Tender</v>
      </c>
      <c r="U4" s="360" t="str">
        <f>IF(TBL_DATA_00_Doc_Merge[[#This Row],[Doc_Type]]="Selection", TBL_DATA_00_Doc_Merge[[#This Row],[PAS_or_SQ]], IF(TBL_DATA_00_Doc_Merge[[#This Row],[Doc_Type]]="Open", "Tender", IF(TBL_DATA_00_Doc_Merge[[#This Row],[Tender_Type]]="Initial", "ISIT", IF(TBL_DATA_00_Doc_Merge[[#This Row],[Tender_Type]]="Final", "ISFT", "ITT"))))</f>
        <v>Tender</v>
      </c>
      <c r="V4" s="360" t="str">
        <f>'Project Info'!$K$18</f>
        <v>PAS</v>
      </c>
      <c r="W4" s="360" t="str">
        <f>'Project Info'!$K$19</f>
        <v>No</v>
      </c>
      <c r="X4" s="360" t="str">
        <f>'Project Info'!$K$15</f>
        <v>works</v>
      </c>
      <c r="Y4" s="360" t="str">
        <f>'Project Info'!$K$37</f>
        <v>contracts</v>
      </c>
      <c r="Z4" s="360" t="str">
        <f t="shared" si="0"/>
        <v>No</v>
      </c>
      <c r="AA4" s="360">
        <f t="shared" si="1"/>
        <v>0</v>
      </c>
      <c r="AB4" s="360" t="str">
        <f>VLOOKUP(TBL_DATA_00_Doc_Merge[[#This Row],[No_of_Lots]], TBL_REF_01_Number[], 2, FALSE)&amp;IF(TBL_DATA_00_Doc_Merge[[#This Row],[No_of_Lots]]=1, " Lot", " Lots")</f>
        <v>zero Lots</v>
      </c>
      <c r="AC4" s="360" t="str">
        <f>IF('Project Info'!$K$38="Partnering", IF(OR('Project Info'!$K$39=$HS$2, 'Project Info'!$K$39=$HS$3), "TAC", "TPC"), 'Project Info'!$K$38)</f>
        <v>JCT</v>
      </c>
      <c r="AD4" s="360" t="str">
        <f>'Project Info'!$K$40</f>
        <v>Contractor</v>
      </c>
      <c r="AE4" s="395" t="str">
        <f t="shared" si="2"/>
        <v>No</v>
      </c>
      <c r="AF4" s="396" t="str">
        <f>IF('Project Info'!$K$17="Yes", "Yes", "No")</f>
        <v>Yes</v>
      </c>
      <c r="AG4" s="396" t="str">
        <f>IF('Project Info'!$K$30&lt;&gt;"", 'Project Info'!$K$30, "")</f>
        <v/>
      </c>
      <c r="AH4" s="396" t="str">
        <f>IF($HT$2='Project Info'!$K$20, 'Project Info'!$L$20, 'Project Info'!$K$20)</f>
        <v>Proactis</v>
      </c>
      <c r="AI4" s="396" t="str">
        <f>IF(TBL_DATA_00_Doc_Merge[[#This Row],[Doc_Type]]="Open", TEXT(Dates!$H$14, "d MMMM YYYY"), TEXT(Dates!$H$5, "d MMMM YYYY"))</f>
        <v>0 January 1900</v>
      </c>
      <c r="AJ4" s="396" t="str">
        <f t="array" ref="AJ4">IFERROR(INDEX(TBL_DATA_01_Lot_Info[Name], MATCH(1, (TBL_DATA_00_Doc_Merge[[#This Row],[Lot]]=TBL_DATA_01_Lot_Info[Lot])*("Yes"=TBL_DATA_01_Lot_Info[Include?]), 0)), "N/A")</f>
        <v>N/A</v>
      </c>
      <c r="AK4" s="396" t="str">
        <f t="array" ref="AK4">IFERROR(INDEX(TBL_DATA_01_Lot_Info[Description], MATCH(1, (TBL_DATA_00_Doc_Merge[[#This Row],[Lot]]=TBL_DATA_01_Lot_Info[Lot])*("Yes"=TBL_DATA_01_Lot_Info[Include?]), 0)), "N/A")</f>
        <v>N/A</v>
      </c>
      <c r="AL4" s="396" t="str">
        <f t="array" ref="AL4">IFERROR(INDEX(TBL_DATA_01_Lot_Info[Props_Approx], MATCH(1, (TBL_DATA_00_Doc_Merge[[#This Row],[Lot]]=TBL_DATA_01_Lot_Info[Lot])*("Yes"=TBL_DATA_01_Lot_Info[Include?]), 0)), "N/A")</f>
        <v>N/A</v>
      </c>
      <c r="AM4" s="396" t="str">
        <f t="array" ref="AM4">IFERROR(INDEX(TBL_DATA_01_Lot_Info[Props_No], MATCH(1, (TBL_DATA_00_Doc_Merge[[#This Row],[Lot]]=TBL_DATA_01_Lot_Info[Lot])*("Yes"=TBL_DATA_01_Lot_Info[Include?]), 0)), "N/A")</f>
        <v>N/A</v>
      </c>
      <c r="AN4" s="396" t="str">
        <f t="array" ref="AN4">IFERROR(INDEX(TBL_DATA_01_Lot_Info[Props_Type], MATCH(1, (TBL_DATA_00_Doc_Merge[[#This Row],[Lot]]=TBL_DATA_01_Lot_Info[Lot])*("Yes"=TBL_DATA_01_Lot_Info[Include?]), 0)), "N/A")</f>
        <v>N/A</v>
      </c>
      <c r="AO4" s="396" t="str">
        <f t="array" ref="AO4">IFERROR(INDEX(TBL_DATA_01_Lot_Info[Value_type], MATCH(1, (TBL_DATA_00_Doc_Merge[[#This Row],[Lot]]=TBL_DATA_01_Lot_Info[Lot])*("Yes"=TBL_DATA_01_Lot_Info[Include?]), 0)), "N/A")</f>
        <v>N/A</v>
      </c>
      <c r="AP4" s="396" t="str">
        <f t="array" ref="AP4">IFERROR(INDEX(TBL_DATA_01_Lot_Info[Value_Max], MATCH(1, (TBL_DATA_00_Doc_Merge[[#This Row],[Lot]]=TBL_DATA_01_Lot_Info[Lot])*("Yes"=TBL_DATA_01_Lot_Info[Include?]), 0)), "N/A")</f>
        <v>N/A</v>
      </c>
      <c r="AQ4" s="396" t="str">
        <f t="array" ref="AQ4">IFERROR(INDEX(TBL_DATA_01_Lot_Info[Value_Min], MATCH(1, (TBL_DATA_00_Doc_Merge[[#This Row],[Lot]]=TBL_DATA_01_Lot_Info[Lot])*("Yes"=TBL_DATA_01_Lot_Info[Include?]), 0)), "N/A")</f>
        <v>N/A</v>
      </c>
      <c r="AR4" s="396" t="str">
        <f t="array" ref="AR4">IFERROR(IF(INDEX(TBL_DATA_01_Lot_Info[ITT_Min], MATCH(1, (TBL_DATA_00_Doc_Merge[[#This Row],[Lot]]=TBL_DATA_01_Lot_Info[Lot])*("Yes"=TBL_DATA_01_Lot_Info[Include?]), 0))&lt;=10, VLOOKUP(INDEX(TBL_DATA_01_Lot_Info[ITT_Min], MATCH(1, (TBL_DATA_00_Doc_Merge[[#This Row],[Lot]]=TBL_DATA_01_Lot_Info[Lot])*("Yes"=TBL_DATA_01_Lot_Info[Include?]), 0)), TBL_REF_01_Number[], 2, FALSE), INDEX(TBL_DATA_01_Lot_Info[ITT_Min], MATCH(1, (TBL_DATA_00_Doc_Merge[[#This Row],[Lot]]=TBL_DATA_01_Lot_Info[Lot])*("Yes"=TBL_DATA_01_Lot_Info[Include?]), 0))), "N/A")</f>
        <v>N/A</v>
      </c>
      <c r="AS4" s="396" t="str">
        <f t="array" ref="AS4">IFERROR(IF(INDEX(TBL_DATA_01_Lot_Info[ITT_Max], MATCH(1, (TBL_DATA_00_Doc_Merge[[#This Row],[Lot]]=TBL_DATA_01_Lot_Info[Lot])*("Yes"=TBL_DATA_01_Lot_Info[Include?]), 0))&lt;=10, VLOOKUP(INDEX(TBL_DATA_01_Lot_Info[ITT_Max], MATCH(1, (TBL_DATA_00_Doc_Merge[[#This Row],[Lot]]=TBL_DATA_01_Lot_Info[Lot])*("Yes"=TBL_DATA_01_Lot_Info[Include?]), 0)), TBL_REF_01_Number[], 2, FALSE), INDEX(TBL_DATA_01_Lot_Info[ITT_Max], MATCH(1, (TBL_DATA_00_Doc_Merge[[#This Row],[Lot]]=TBL_DATA_01_Lot_Info[Lot])*("Yes"=TBL_DATA_01_Lot_Info[Include?]), 0))), "N/A")</f>
        <v>N/A</v>
      </c>
      <c r="AT4" s="396" t="str">
        <f t="array" ref="AT4">IFERROR(IF(INDEX(TBL_DATA_01_Lot_Info[Neg_Min], MATCH(1, (TBL_DATA_00_Doc_Merge[[#This Row],[Lot]]=TBL_DATA_01_Lot_Info[Lot])*("Yes"=TBL_DATA_01_Lot_Info[Include?]), 0))&lt;=10, VLOOKUP(INDEX(TBL_DATA_01_Lot_Info[Neg_Min], MATCH(1, (TBL_DATA_00_Doc_Merge[[#This Row],[Lot]]=TBL_DATA_01_Lot_Info[Lot])*("Yes"=TBL_DATA_01_Lot_Info[Include?]), 0)), TBL_REF_01_Number[], 2, FALSE), INDEX(TBL_DATA_01_Lot_Info[Neg_Min], MATCH(1, (TBL_DATA_00_Doc_Merge[[#This Row],[Lot]]=TBL_DATA_01_Lot_Info[Lot])*("Yes"=TBL_DATA_01_Lot_Info[Include?]), 0))), "N/A")</f>
        <v>N/A</v>
      </c>
      <c r="AU4" s="396" t="str">
        <f t="array" ref="AU4">IFERROR(IF(INDEX(TBL_DATA_01_Lot_Info[Neg_Max], MATCH(1, (TBL_DATA_00_Doc_Merge[[#This Row],[Lot]]=TBL_DATA_01_Lot_Info[Lot])*("Yes"=TBL_DATA_01_Lot_Info[Include?]), 0))&lt;=10, VLOOKUP(INDEX(TBL_DATA_01_Lot_Info[Neg_Max], MATCH(1, (TBL_DATA_00_Doc_Merge[[#This Row],[Lot]]=TBL_DATA_01_Lot_Info[Lot])*("Yes"=TBL_DATA_01_Lot_Info[Include?]), 0)), TBL_REF_01_Number[], 2, FALSE), INDEX(TBL_DATA_01_Lot_Info[Neg_Max], MATCH(1, (TBL_DATA_00_Doc_Merge[[#This Row],[Lot]]=TBL_DATA_01_Lot_Info[Lot])*("Yes"=TBL_DATA_01_Lot_Info[Include?]), 0))), "N/A")</f>
        <v>N/A</v>
      </c>
      <c r="AV4" s="396" t="str">
        <f t="array" ref="AV4">IFERROR(IF(INDEX(TBL_DATA_01_Lot_Info[ISFT_Min], MATCH(1, (TBL_DATA_00_Doc_Merge[[#This Row],[Lot]]=TBL_DATA_01_Lot_Info[Lot])*("Yes"=TBL_DATA_01_Lot_Info[Include?]), 0))&lt;=10, VLOOKUP(INDEX(TBL_DATA_01_Lot_Info[ISFT_Min], MATCH(1, (TBL_DATA_00_Doc_Merge[[#This Row],[Lot]]=TBL_DATA_01_Lot_Info[Lot])*("Yes"=TBL_DATA_01_Lot_Info[Include?]), 0)), TBL_REF_01_Number[], 2, FALSE), INDEX(TBL_DATA_01_Lot_Info[ISFT_Min], MATCH(1, (TBL_DATA_00_Doc_Merge[[#This Row],[Lot]]=TBL_DATA_01_Lot_Info[Lot])*("Yes"=TBL_DATA_01_Lot_Info[Include?]), 0))), "N/A")</f>
        <v>N/A</v>
      </c>
      <c r="AW4" s="396" t="str">
        <f t="array" ref="AW4">IFERROR(IF(INDEX(TBL_DATA_01_Lot_Info[ISFT_Max], MATCH(1, (TBL_DATA_00_Doc_Merge[[#This Row],[Lot]]=TBL_DATA_01_Lot_Info[Lot])*("Yes"=TBL_DATA_01_Lot_Info[Include?]), 0))&lt;=10, VLOOKUP(INDEX(TBL_DATA_01_Lot_Info[ISFT_Max], MATCH(1, (TBL_DATA_00_Doc_Merge[[#This Row],[Lot]]=TBL_DATA_01_Lot_Info[Lot])*("Yes"=TBL_DATA_01_Lot_Info[Include?]), 0)), TBL_REF_01_Number[], 2, FALSE), INDEX(TBL_DATA_01_Lot_Info[ISFT_Max], MATCH(1, (TBL_DATA_00_Doc_Merge[[#This Row],[Lot]]=TBL_DATA_01_Lot_Info[Lot])*("Yes"=TBL_DATA_01_Lot_Info[Include?]), 0))), "N/A")</f>
        <v>N/A</v>
      </c>
      <c r="AX4" s="396" t="str">
        <f t="array" ref="AX4">IFERROR(IF(INDEX(TBL_DATA_01_Lot_Info[Cons_Min], MATCH(1, (TBL_DATA_00_Doc_Merge[[#This Row],[Lot]]=TBL_DATA_01_Lot_Info[Lot])*("Yes"=TBL_DATA_01_Lot_Info[Include?]), 0))&lt;=10, VLOOKUP(INDEX(TBL_DATA_01_Lot_Info[Cons_Min], MATCH(1, (TBL_DATA_00_Doc_Merge[[#This Row],[Lot]]=TBL_DATA_01_Lot_Info[Lot])*("Yes"=TBL_DATA_01_Lot_Info[Include?]), 0)), TBL_REF_01_Number[], 2, FALSE), INDEX(TBL_DATA_01_Lot_Info[Cons_Min], MATCH(1, (TBL_DATA_00_Doc_Merge[[#This Row],[Lot]]=TBL_DATA_01_Lot_Info[Lot])*("Yes"=TBL_DATA_01_Lot_Info[Include?]), 0))), "N/A")</f>
        <v>N/A</v>
      </c>
      <c r="AY4" s="396" t="str">
        <f t="array" ref="AY4">IFERROR(IF(INDEX(TBL_DATA_01_Lot_Info[Cons_Max], MATCH(1, (TBL_DATA_00_Doc_Merge[[#This Row],[Lot]]=TBL_DATA_01_Lot_Info[Lot])*("Yes"=TBL_DATA_01_Lot_Info[Include?]), 0))&lt;=10, VLOOKUP(INDEX(TBL_DATA_01_Lot_Info[Cons_Max], MATCH(1, (TBL_DATA_00_Doc_Merge[[#This Row],[Lot]]=TBL_DATA_01_Lot_Info[Lot])*("Yes"=TBL_DATA_01_Lot_Info[Include?]), 0)), TBL_REF_01_Number[], 2, FALSE), INDEX(TBL_DATA_01_Lot_Info[Cons_Max], MATCH(1, (TBL_DATA_00_Doc_Merge[[#This Row],[Lot]]=TBL_DATA_01_Lot_Info[Lot])*("Yes"=TBL_DATA_01_Lot_Info[Include?]), 0))), "N/A")</f>
        <v>N/A</v>
      </c>
      <c r="AZ4" s="396" t="s">
        <v>24</v>
      </c>
      <c r="BA4" s="396" t="s">
        <v>24</v>
      </c>
      <c r="BB4" s="396" t="s">
        <v>24</v>
      </c>
      <c r="BC4" s="396" t="s">
        <v>24</v>
      </c>
      <c r="BD4" s="396" t="s">
        <v>24</v>
      </c>
      <c r="BE4" s="396" t="s">
        <v>24</v>
      </c>
      <c r="BF4" s="396" t="s">
        <v>24</v>
      </c>
      <c r="BG4" s="396" t="s">
        <v>24</v>
      </c>
      <c r="BH4" s="396" t="s">
        <v>24</v>
      </c>
      <c r="BI4" s="396" t="s">
        <v>24</v>
      </c>
      <c r="BJ4" s="396" t="s">
        <v>24</v>
      </c>
      <c r="BK4" s="396" t="s">
        <v>24</v>
      </c>
      <c r="BL4" s="396" t="s">
        <v>24</v>
      </c>
      <c r="BM4" s="396" t="s">
        <v>24</v>
      </c>
      <c r="BN4" s="396" t="s">
        <v>24</v>
      </c>
      <c r="BO4" s="396" t="s">
        <v>24</v>
      </c>
      <c r="BP4" s="396" t="s">
        <v>24</v>
      </c>
      <c r="BQ4" s="396" t="s">
        <v>24</v>
      </c>
      <c r="BR4" s="396" t="s">
        <v>24</v>
      </c>
      <c r="BS4" s="396" t="s">
        <v>24</v>
      </c>
      <c r="BT4" s="396" t="s">
        <v>24</v>
      </c>
      <c r="BU4" s="396" t="s">
        <v>24</v>
      </c>
      <c r="BV4" s="396" t="s">
        <v>24</v>
      </c>
      <c r="BW4" s="396" t="s">
        <v>24</v>
      </c>
      <c r="BX4" s="396" t="s">
        <v>24</v>
      </c>
      <c r="BY4" s="396" t="s">
        <v>24</v>
      </c>
      <c r="BZ4" s="396" t="s">
        <v>24</v>
      </c>
      <c r="CA4" s="396" t="s">
        <v>24</v>
      </c>
      <c r="CB4" s="396" t="s">
        <v>24</v>
      </c>
      <c r="CC4" s="396" t="s">
        <v>24</v>
      </c>
      <c r="CD4" s="396" t="s">
        <v>24</v>
      </c>
      <c r="CE4" s="396" t="s">
        <v>24</v>
      </c>
      <c r="CF4" s="396" t="s">
        <v>24</v>
      </c>
      <c r="CG4" s="396" t="s">
        <v>24</v>
      </c>
      <c r="CH4" s="396" t="s">
        <v>24</v>
      </c>
      <c r="CI4" s="396" t="s">
        <v>24</v>
      </c>
      <c r="CJ4" s="396" t="s">
        <v>24</v>
      </c>
      <c r="CK4" s="396" t="s">
        <v>24</v>
      </c>
      <c r="CL4" s="396" t="s">
        <v>24</v>
      </c>
      <c r="CM4" s="396" t="s">
        <v>24</v>
      </c>
      <c r="CN4" s="396" t="s">
        <v>24</v>
      </c>
      <c r="CO4" s="396" t="s">
        <v>24</v>
      </c>
      <c r="CP4" s="396" t="s">
        <v>24</v>
      </c>
      <c r="CQ4" s="396" t="s">
        <v>24</v>
      </c>
      <c r="CR4" s="396" t="s">
        <v>24</v>
      </c>
      <c r="CS4" s="396" t="s">
        <v>24</v>
      </c>
      <c r="CT4" s="396" t="s">
        <v>24</v>
      </c>
      <c r="CU4" s="396" t="s">
        <v>24</v>
      </c>
      <c r="CV4" s="396" t="s">
        <v>24</v>
      </c>
      <c r="CW4" s="396" t="s">
        <v>24</v>
      </c>
      <c r="CX4" s="396" t="s">
        <v>24</v>
      </c>
      <c r="CY4" s="396" t="s">
        <v>24</v>
      </c>
      <c r="CZ4" s="396" t="s">
        <v>24</v>
      </c>
      <c r="DA4" s="396" t="s">
        <v>24</v>
      </c>
      <c r="DB4" s="396" t="s">
        <v>24</v>
      </c>
      <c r="DC4" s="396" t="s">
        <v>24</v>
      </c>
      <c r="DD4" s="396" t="s">
        <v>24</v>
      </c>
      <c r="DE4" s="396" t="s">
        <v>24</v>
      </c>
      <c r="DF4" s="396" t="s">
        <v>24</v>
      </c>
      <c r="DG4" s="396" t="s">
        <v>24</v>
      </c>
      <c r="DH4" s="396" t="s">
        <v>24</v>
      </c>
      <c r="DI4" s="396" t="s">
        <v>24</v>
      </c>
      <c r="DJ4" s="396" t="s">
        <v>24</v>
      </c>
      <c r="DK4" s="396" t="s">
        <v>24</v>
      </c>
      <c r="DL4" s="396" t="str">
        <f>IF(TBL_DATA_00_Doc_Merge[[#This Row],[Doc_Type]]="Selection", "Candidate", IF(TBL_DATA_00_Doc_Merge[[#This Row],[Doc_Type]]="Open", "Supplier", "Tenderer"))</f>
        <v>Supplier</v>
      </c>
      <c r="DM4" s="396" t="str">
        <f>TEXT(Dates!$H$50, "MMMM, YYYY")</f>
        <v>January, 1900</v>
      </c>
      <c r="DN4" s="396" t="str">
        <f t="array" ref="DN4">IFERROR(INDEX(TBL_ADD_02_Project_Info[Response], MATCH(1, ("All"=TBL_ADD_02_Project_Info[Lot])*("Value_type"=TBL_ADD_02_Project_Info[Ref]), 0)), "N/A")</f>
        <v>Single figure</v>
      </c>
      <c r="DO4" s="396" t="str">
        <f t="array" ref="DO4">IFERROR(TEXT(INDEX(TBL_ADD_02_Project_Info[Response], MATCH(1, ("All"=TBL_ADD_02_Project_Info[Lot])*("Value_Max"=TBL_ADD_02_Project_Info[Ref]), 0)), "£ #,###.00"), "N/A")</f>
        <v>£ 56,000,000.00</v>
      </c>
      <c r="DP4" s="396" t="str">
        <f t="array" ref="DP4">IFERROR(TEXT(INDEX(TBL_ADD_02_Project_Info[Response], MATCH(1, ("All"=TBL_ADD_02_Project_Info[Lot])*("Value_Min"=TBL_ADD_02_Project_Info[Ref]), 0)), "£ #,###.00"), "N/A")</f>
        <v>£ .00</v>
      </c>
      <c r="DQ4" s="396" t="str">
        <f>IF('Project Info'!$K$56&gt;=11, 'Project Info'!$K$56, VLOOKUP('Project Info'!$K$56, TBL_REF_01_Number[], 2, FALSE))</f>
        <v>four</v>
      </c>
      <c r="DR4" s="360" t="str">
        <f>IF('Project Info'!$K$57&gt;=11, 'Project Info'!$K$57, VLOOKUP('Project Info'!$K$57, TBL_REF_01_Number[], 2, FALSE))</f>
        <v>four</v>
      </c>
      <c r="DS4" s="360" t="str">
        <f>IF('Project Info'!$K$38="Other (please provide info)", 'Project Info'!$L$38, 'Project Info'!$K$39)</f>
        <v>JCT Measured Term Contract (2016) published by The Joint Contracts Tribunal (JCT)</v>
      </c>
      <c r="DT4" s="360" t="str">
        <f>'Project Info'!$K$41</f>
        <v>Contract Administrator</v>
      </c>
      <c r="DU4" s="360" t="str">
        <f>'Project Info'!$L$41</f>
        <v>CA</v>
      </c>
      <c r="DV4" s="360" t="str">
        <f>SUBSTITUTE('Project Info'!$K$48, "s", "")</f>
        <v>year</v>
      </c>
      <c r="DW4" s="360" t="str">
        <f>IF('Project Info'!$K$49&gt;10, 'Project Info'!$K$49, VLOOKUP('Project Info'!$K$49, TBL_REF_01_Number[], 2, FALSE))&amp;" "&amp;IF('Project Info'!$K$49&gt;1, TBL_DATA_00_Doc_Merge[[#This Row],[Duration_type]]&amp;"s", TBL_DATA_00_Doc_Merge[[#This Row],[Duration_type]])</f>
        <v>four years</v>
      </c>
      <c r="DX4" s="360" t="str">
        <f>IF('Project Info'!$K$50&gt;10, 'Project Info'!$K$50, VLOOKUP('Project Info'!$K$50, TBL_REF_01_Number[], 2, FALSE))&amp;" "&amp;IF('Project Info'!$K$50&gt;1, TBL_DATA_00_Doc_Merge[[#This Row],[Duration_type]]&amp;"s", TBL_DATA_00_Doc_Merge[[#This Row],[Duration_type]])</f>
        <v>seven years</v>
      </c>
      <c r="DY4" s="360" t="str">
        <f>IF('Project Info'!$K$50='Project Info'!$K$49, "N/A", IF('Project Info'!$K$50-'Project Info'!$K$49&gt;10, 'Project Info'!$K$50-'Project Info'!$K$49&amp;" "&amp;TBL_DATA_00_Doc_Merge[[#This Row],[Duration_type]]&amp;"s", VLOOKUP('Project Info'!$K$50-'Project Info'!$K$49, TBL_REF_01_Number[], 2, FALSE))&amp;" "&amp;IF('Project Info'!$K$50-'Project Info'!$K$49&gt;1, TBL_DATA_00_Doc_Merge[[#This Row],[Duration_type]]&amp;"s", TBL_DATA_00_Doc_Merge[[#This Row],[Duration_type]]))</f>
        <v>three years</v>
      </c>
      <c r="DZ4" s="360" t="str">
        <f>'Project Info'!$K$34</f>
        <v>approximately</v>
      </c>
      <c r="EA4" s="393">
        <f>IF('Project Info'!$K$33&gt;10, 'Project Info'!$K$33, VLOOKUP('Project Info'!$K$33, TBL_REF_01_Number[], 2, FALSE))</f>
        <v>20500</v>
      </c>
      <c r="EB4" s="392" t="str">
        <f>'Project Info'!$K$32</f>
        <v>properties</v>
      </c>
      <c r="EC4" s="392" t="str">
        <f t="shared" si="3"/>
        <v>Yes</v>
      </c>
      <c r="ED4" s="392">
        <f t="shared" si="4"/>
        <v>50</v>
      </c>
      <c r="EE4" s="392">
        <f t="shared" si="5"/>
        <v>50</v>
      </c>
      <c r="EF4" s="360" t="str">
        <f t="shared" si="6"/>
        <v>Not applicable</v>
      </c>
      <c r="EG4" s="396">
        <f t="shared" si="7"/>
        <v>5</v>
      </c>
      <c r="EH4" s="396" t="str">
        <f t="shared" si="8"/>
        <v>Yes</v>
      </c>
      <c r="EI4" s="396">
        <f t="shared" si="9"/>
        <v>0</v>
      </c>
      <c r="EJ4" s="396">
        <f t="shared" si="10"/>
        <v>0</v>
      </c>
      <c r="EK4" s="396">
        <f t="shared" si="11"/>
        <v>0</v>
      </c>
      <c r="EL4" s="396" t="str">
        <f t="shared" si="12"/>
        <v>No</v>
      </c>
      <c r="EM4" s="396" t="str">
        <f t="shared" si="13"/>
        <v>Consensus</v>
      </c>
      <c r="EN4" s="396" t="str">
        <f t="shared" si="14"/>
        <v>No</v>
      </c>
      <c r="EO4" s="392">
        <f t="shared" si="15"/>
        <v>0</v>
      </c>
      <c r="EP4" s="365">
        <f t="shared" si="16"/>
        <v>0</v>
      </c>
      <c r="EQ4" s="392" t="str">
        <f t="shared" si="17"/>
        <v>Yes</v>
      </c>
      <c r="ER4" s="392">
        <f t="shared" si="18"/>
        <v>50</v>
      </c>
      <c r="ES4" s="392" t="str">
        <f t="shared" si="19"/>
        <v>Consensus</v>
      </c>
      <c r="ET4" s="392" t="str">
        <f t="shared" si="20"/>
        <v>Yes</v>
      </c>
      <c r="EU4" s="392">
        <f t="shared" si="21"/>
        <v>0</v>
      </c>
      <c r="EV4" s="392">
        <f t="shared" si="22"/>
        <v>0</v>
      </c>
      <c r="EW4" s="392">
        <f t="shared" si="23"/>
        <v>0</v>
      </c>
      <c r="EX4" s="392">
        <f t="shared" si="24"/>
        <v>0</v>
      </c>
      <c r="EY4" s="392">
        <f t="shared" si="25"/>
        <v>0</v>
      </c>
      <c r="EZ4" s="396">
        <f t="shared" si="26"/>
        <v>0</v>
      </c>
      <c r="FA4" s="396" t="str">
        <f>IF('Project Info'!$K$86&gt;11, 'Project Info'!$K$86, VLOOKUP('Project Info'!$K$86, TBL_REF_01_Number[], 2, FALSE))</f>
        <v>zero</v>
      </c>
      <c r="FB4" s="396" t="str">
        <f>IF('Project Info'!$K$87&gt;11, 'Project Info'!$K$87, VLOOKUP('Project Info'!$K$87, TBL_REF_01_Number[], 2, FALSE))</f>
        <v>zero</v>
      </c>
      <c r="FC4" s="396" t="str">
        <f>IF('Project Info'!$K$89&gt;11, 'Project Info'!$K$89, VLOOKUP('Project Info'!$K$89, TBL_REF_01_Number[], 2, FALSE))</f>
        <v>zero</v>
      </c>
      <c r="FD4" s="396" t="str">
        <f>IF('Project Info'!$K$90&gt;11, 'Project Info'!$K$90, VLOOKUP('Project Info'!$K$90, TBL_REF_01_Number[], 2, FALSE))</f>
        <v>zero</v>
      </c>
      <c r="FE4" s="396" t="str">
        <f>IF('Project Info'!$K$92&gt;11, 'Project Info'!$K$92, VLOOKUP('Project Info'!$K$92, TBL_REF_01_Number[], 2, FALSE))</f>
        <v>zero</v>
      </c>
      <c r="FF4" s="396" t="str">
        <f>IF('Project Info'!$K$93&gt;11, 'Project Info'!$K$93, VLOOKUP('Project Info'!$K$93, TBL_REF_01_Number[], 2, FALSE))</f>
        <v>zero</v>
      </c>
      <c r="FG4" s="396" t="str">
        <f t="array" ref="FG4">IFERROR(INDEX(TBL_DATA_02_Q_Info[Select_Points], MATCH(1, (TBL_DATA_02_Q_Info[Lot]=IF(REF_Select_1_Qs="Yes", "All", "Lot_2"))*(TBL_DATA_02_Q_Info[Include?]="Yes"), 0)), "N/A")</f>
        <v>N/A</v>
      </c>
      <c r="FH4" s="392" t="s">
        <v>24</v>
      </c>
      <c r="FI4" s="392" t="s">
        <v>24</v>
      </c>
      <c r="FJ4" s="392" t="s">
        <v>24</v>
      </c>
      <c r="FK4" s="392" t="s">
        <v>24</v>
      </c>
      <c r="FL4" s="392" t="s">
        <v>24</v>
      </c>
      <c r="FM4" s="396" t="str">
        <f t="array" ref="FM4">IFERROR(INDEX(TBL_DATA_02_Q_Info[Tech_Points], MATCH(1, (TBL_DATA_02_Q_Info[Lot]=IF(REF_Tech_1_Qs="Yes", "All", "Lot_2"))*(TBL_DATA_02_Q_Info[Include?]="Yes"), 0)), "N/A")</f>
        <v>N/A</v>
      </c>
      <c r="FN4" s="392" t="s">
        <v>24</v>
      </c>
      <c r="FO4" s="396" t="s">
        <v>24</v>
      </c>
      <c r="FP4" s="396" t="s">
        <v>24</v>
      </c>
      <c r="FQ4" s="396" t="s">
        <v>24</v>
      </c>
      <c r="FR4" s="396" t="s">
        <v>24</v>
      </c>
      <c r="FS4" s="396" t="str">
        <f t="array" ref="FS4">IFERROR(INDEX(TBL_DATA_02_Q_Info[IntSV_Points], MATCH(1, (TBL_DATA_02_Q_Info[Lot]=IF(REF_IntSV_1_Qs="Yes", "All", "Lot_2"))*(TBL_DATA_02_Q_Info[Include?]="Yes"), 0)), "N/A")</f>
        <v>N/A</v>
      </c>
      <c r="FT4" s="392" t="s">
        <v>24</v>
      </c>
      <c r="FU4" s="396" t="s">
        <v>24</v>
      </c>
      <c r="FV4" s="396" t="s">
        <v>24</v>
      </c>
      <c r="FW4" s="396" t="s">
        <v>24</v>
      </c>
      <c r="FX4" s="396" t="s">
        <v>24</v>
      </c>
      <c r="FY4" s="396" t="str">
        <f t="array" ref="FY4">IFERROR(INDEX(TBL_DATA_02_Q_Info[Select_Min], MATCH(1, (TBL_DATA_02_Q_Info[Lot]=IF(REF_Select_1_Qs="Yes", "All", "Lot_2"))*(TBL_DATA_02_Q_Info[Include?]="Yes"), 0)), "N/A")</f>
        <v>N/A</v>
      </c>
      <c r="FZ4" s="392" t="s">
        <v>24</v>
      </c>
      <c r="GA4" s="396" t="s">
        <v>24</v>
      </c>
      <c r="GB4" s="396" t="s">
        <v>24</v>
      </c>
      <c r="GC4" s="396" t="s">
        <v>24</v>
      </c>
      <c r="GD4" s="396" t="s">
        <v>24</v>
      </c>
      <c r="GE4" s="396" t="str">
        <f>IF(TBL_DATA_00_Doc_Merge[[#This Row],[Limit_Wins]]="Yes", IF('Project Info'!$K$59&lt;=10, VLOOKUP('Project Info'!$K$59, TBL_REF_01_Number[], 2, FALSE), 'Project Info'!$K$59), "N/A")</f>
        <v>N/A</v>
      </c>
      <c r="GF4" s="360" t="s">
        <v>2227</v>
      </c>
      <c r="GG4" s="392" t="str">
        <f>'Project Info'!$K$43</f>
        <v>No</v>
      </c>
      <c r="GH4" s="392">
        <f>'Project Info'!$K$44</f>
        <v>0</v>
      </c>
      <c r="GI4" s="394">
        <f>'Project Info'!$K$62</f>
        <v>10000000</v>
      </c>
      <c r="GJ4" s="394">
        <f>'Project Info'!$K$63</f>
        <v>10000000</v>
      </c>
      <c r="GK4" s="394">
        <f>'Project Info'!$K$64</f>
        <v>2000000</v>
      </c>
      <c r="GL4" s="394">
        <f>'Project Info'!$K$65</f>
        <v>0</v>
      </c>
      <c r="GM4" s="397" t="str">
        <f t="array" ref="GM4">TEXT(INDEX(TBL_ADD_03_Dates[Date], MATCH(1, ("Select"=TBL_ADD_03_Dates[Stage])*("Clarification"=TBL_ADD_03_Dates[Activity]),0)), "d MMMM YYYY")</f>
        <v/>
      </c>
      <c r="GN4" s="397" t="str">
        <f t="array" ref="GN4">TEXT(INDEX(TBL_ADD_03_Dates[Date], MATCH(1, ("Select"=TBL_ADD_03_Dates[Stage])*("Return"=TBL_ADD_03_Dates[Activity]),0)), "d MMMM YYYY")</f>
        <v/>
      </c>
      <c r="GO4" s="397" t="str">
        <f t="array" ref="GO4">IF(INDEX(TBL_ADD_03_Dates[Date], MATCH(1, ("Select"=TBL_ADD_03_Dates[Stage])*("Time"=TBL_ADD_03_Dates[Activity]),0))=0.5,"12:00 noon",IF(INDEX(TBL_ADD_03_Dates[Date], MATCH(1, ("Select"=TBL_ADD_03_Dates[Stage])*("Time"=TBL_ADD_03_Dates[Activity]),0))&lt;0.5, CONCATENATE(HOUR(INDEX(TBL_ADD_03_Dates[Date], MATCH(1, ("Select"=TBL_ADD_03_Dates[Stage])*("Time"=TBL_ADD_03_Dates[Activity]),0))), ":00 am"),CONCATENATE((HOUR(INDEX(TBL_ADD_03_Dates[Date], MATCH(1, ("Select"=TBL_ADD_03_Dates[Stage])*("Time"=TBL_ADD_03_Dates[Activity]),0)))-12), ":00 pm")))</f>
        <v>0:00 am</v>
      </c>
      <c r="GP4" s="397" t="str">
        <f t="array" ref="GP4">TEXT(INDEX(TBL_ADD_03_Dates[Date], MATCH(1, ("Tender"=TBL_ADD_03_Dates[Stage])*("Issue"=TBL_ADD_03_Dates[Activity]),0)), "d MMMM YYYY")</f>
        <v>0 January 1900</v>
      </c>
      <c r="GQ4" s="397" t="str">
        <f t="array" ref="GQ4">TEXT(INDEX(TBL_ADD_03_Dates[Date], MATCH(1, ("Tender"=TBL_ADD_03_Dates[Stage])*("Clarification"=TBL_ADD_03_Dates[Activity]),0)), "d MMMM YYYY")</f>
        <v/>
      </c>
      <c r="GR4" s="397" t="str">
        <f t="array" ref="GR4">TEXT(INDEX(TBL_ADD_03_Dates[Date], MATCH(1, ("Tender"=TBL_ADD_03_Dates[Stage])*("Return"=TBL_ADD_03_Dates[Activity]),0)), "d MMMM YYYY")</f>
        <v/>
      </c>
      <c r="GS4" s="397" t="str">
        <f t="array" ref="GS4">IF(INDEX(TBL_ADD_03_Dates[Date], MATCH(1, ("Tender"=TBL_ADD_03_Dates[Stage])*("Time"=TBL_ADD_03_Dates[Activity]),0))=0.5,"12:00 noon",IF(INDEX(TBL_ADD_03_Dates[Date], MATCH(1, ("Tender"=TBL_ADD_03_Dates[Stage])*("Time"=TBL_ADD_03_Dates[Activity]),0))&lt;0.5, CONCATENATE(HOUR(INDEX(TBL_ADD_03_Dates[Date], MATCH(1, ("Tender"=TBL_ADD_03_Dates[Stage])*("Time"=TBL_ADD_03_Dates[Activity]),0))), ":00 am"),CONCATENATE((HOUR(INDEX(TBL_ADD_03_Dates[Date], MATCH(1, ("Tender"=TBL_ADD_03_Dates[Stage])*("Time"=TBL_ADD_03_Dates[Activity]),0)))-12), ":00 pm")))</f>
        <v>0:00 am</v>
      </c>
      <c r="GT4" s="397" t="str">
        <f t="array" ref="GT4">TEXT(INDEX(TBL_ADD_03_Dates[Date], MATCH(1, ("Tender"=TBL_ADD_03_Dates[Stage])*("IntSV_Advise"=TBL_ADD_03_Dates[Activity]),0)), "d MMMM YYYY")</f>
        <v>0 January 1900</v>
      </c>
      <c r="GU4" s="397">
        <f t="array" ref="GU4">INDEX(TBL_ADD_03_Dates[Date], MATCH(1, ("Tender"=TBL_ADD_03_Dates[Stage])*("IntSV_Start"=TBL_ADD_03_Dates[Activity]),0))</f>
        <v>0</v>
      </c>
      <c r="GV4" s="397">
        <f t="array" ref="GV4">INDEX(TBL_ADD_03_Dates[Date], MATCH(1, ("Tender"=TBL_ADD_03_Dates[Stage])*("IntSV_End"=TBL_ADD_03_Dates[Activity]),0))</f>
        <v>0</v>
      </c>
      <c r="GW4" s="391" t="str">
        <f>IF(TBL_DATA_00_Doc_Merge[[#This Row],[IntSV_Start]]=TBL_DATA_00_Doc_Merge[[#This Row],[IntSV_End]], CONCATENATE("on ", TEXT(TBL_DATA_00_Doc_Merge[[#This Row],[IntSV_Start]], "DDDD"), " ", DAY(TBL_DATA_00_Doc_Merge[[#This Row],[IntSV_Start]]),"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"")&lt;&gt;"", CONCATENATE("between ", TEXT(TBL_DATA_00_Doc_Merge[[#This Row],[IntSV_Start]], "DDDD"), " ", DAY(TBL_DATA_00_Doc_Merge[[#This Row],[IntSV_Start]]), " and ", TEXT(TBL_DATA_00_Doc_Merge[[#This Row],[IntSV_End]], "DDDD"), " ", DAY(TBL_DATA_00_Doc_Merge[[#This Row],[IntSV_End]]),"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IF(YEAR(TBL_DATA_00_Doc_Merge[[#This Row],[IntSV_Start]])=YEAR(TBL_DATA_00_Doc_Merge[[#This Row],[IntSV_End]]), CONCATENATE("between ", TEXT(TBL_DATA_00_Doc_Merge[[#This Row],[IntSV_Start]], "DDDD"), " ", DAY(TBL_DATA_00_Doc_Merge[[#This Row],[IntSV_Start]]), " ", TEXT(TBL_DATA_00_Doc_Merge[[#This Row],[IntSV_Start]], "MMMM"), " and ", TEXT(TBL_DATA_00_Doc_Merge[[#This Row],[IntSV_End]], "DDDD"), " ", DAY(TBL_DATA_00_Doc_Merge[[#This Row],[IntSV_End]])," ",  TEXT(TBL_DATA_00_Doc_Merge[[#This Row],[IntSV_End]], "MMMM")," ",YEAR(TBL_DATA_00_Doc_Merge[[#This Row],[IntSV_End]])), CONCATENATE("between ", TEXT(TBL_DATA_00_Doc_Merge[[#This Row],[IntSV_Start]], "DDDD"), " ", DAY(TBL_DATA_00_Doc_Merge[[#This Row],[IntSV_Start]]), " ", TEXT(TBL_DATA_00_Doc_Merge[[#This Row],[IntSV_Start]], "MMMM")," ", YEAR(TBL_DATA_00_Doc_Merge[[#This Row],[IntSV_Start]]), " and ", TEXT(TBL_DATA_00_Doc_Merge[[#This Row],[IntSV_End]], "DDDD"), " ", DAY(TBL_DATA_00_Doc_Merge[[#This Row],[IntSV_End]])," ",  TEXT(TBL_DATA_00_Doc_Merge[[#This Row],[IntSV_End]], "MMMM")," ",YEAR(TBL_DATA_00_Doc_Merge[[#This Row],[IntSV_End]])))))</f>
        <v>on Saturday 0 January 1900</v>
      </c>
      <c r="GX4" s="397">
        <f t="array" ref="GX4">INDEX(TBL_ADD_03_Dates[Date], MATCH(1, ("Neg"=TBL_ADD_03_Dates[Stage])*("Start"=TBL_ADD_03_Dates[Activity]),0))</f>
        <v>0</v>
      </c>
      <c r="GY4" s="397">
        <f t="array" ref="GY4">INDEX(TBL_ADD_03_Dates[Date], MATCH(1, ("Neg"=TBL_ADD_03_Dates[Stage])*("End"=TBL_ADD_03_Dates[Activity]),0))</f>
        <v>0</v>
      </c>
      <c r="GZ4" s="397" t="str">
        <f>IF(TBL_DATA_00_Doc_Merge[[#This Row],[Neg_Start]]=TBL_DATA_00_Doc_Merge[[#This Row],[Neg_End]], CONCATENATE("on ", TEXT(TBL_DATA_00_Doc_Merge[[#This Row],[Neg_Start]], "DDDD"), " ", DAY(TBL_DATA_00_Doc_Merge[[#This Row],[Neg_Start]]),"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IF(IF(AND(MONTH(TBL_DATA_00_Doc_Merge[[#This Row],[Neg_Start]])=MONTH(TBL_DATA_00_Doc_Merge[[#This Row],[Neg_End]]), YEAR(TBL_DATA_00_Doc_Merge[[#This Row],[Neg_Start]])=YEAR(TBL_DATA_00_Doc_Merge[[#This Row],[Neg_End]])), CONCATENATE(TEXT(TBL_DATA_00_Doc_Merge[[#This Row],[Neg_Start]], "MMMM"), " ", YEAR(TBL_DATA_00_Doc_Merge[[#This Row],[Neg_Start]])), "")&lt;&gt;"", CONCATENATE("between ", TEXT(TBL_DATA_00_Doc_Merge[[#This Row],[Neg_Start]], "DDDD"), " ", DAY(TBL_DATA_00_Doc_Merge[[#This Row],[Neg_Start]]), " and ", TEXT(TBL_DATA_00_Doc_Merge[[#This Row],[Neg_End]], "DDDD"), " ", DAY(TBL_DATA_00_Doc_Merge[[#This Row],[Neg_End]]),"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IF(YEAR(TBL_DATA_00_Doc_Merge[[#This Row],[Neg_Start]])=YEAR(TBL_DATA_00_Doc_Merge[[#This Row],[Neg_End]]), CONCATENATE("between ", TEXT(TBL_DATA_00_Doc_Merge[[#This Row],[Neg_Start]], "DDDD"), " ", DAY(TBL_DATA_00_Doc_Merge[[#This Row],[Neg_Start]]), " ", TEXT(TBL_DATA_00_Doc_Merge[[#This Row],[Neg_Start]], "MMMM"), " and ", TEXT(TBL_DATA_00_Doc_Merge[[#This Row],[Neg_End]], "DDDD"), " ", DAY(TBL_DATA_00_Doc_Merge[[#This Row],[Neg_End]])," ",  TEXT(TBL_DATA_00_Doc_Merge[[#This Row],[Neg_End]], "MMMM")," ",YEAR(TBL_DATA_00_Doc_Merge[[#This Row],[Neg_End]])), CONCATENATE("between ", TEXT(TBL_DATA_00_Doc_Merge[[#This Row],[Neg_Start]], "DDDD"), " ", DAY(TBL_DATA_00_Doc_Merge[[#This Row],[Neg_Start]]), " ", TEXT(TBL_DATA_00_Doc_Merge[[#This Row],[Neg_Start]], "MMMM")," ", YEAR(TBL_DATA_00_Doc_Merge[[#This Row],[Neg_Start]]), " and ", TEXT(TBL_DATA_00_Doc_Merge[[#This Row],[Neg_End]], "DDDD"), " ", DAY(TBL_DATA_00_Doc_Merge[[#This Row],[Neg_End]])," ",  TEXT(TBL_DATA_00_Doc_Merge[[#This Row],[Neg_End]], "MMMM")," ",YEAR(TBL_DATA_00_Doc_Merge[[#This Row],[Neg_End]])))))</f>
        <v>on Saturday 0 January 1900</v>
      </c>
      <c r="HA4" s="397"/>
      <c r="HB4" s="397" t="str">
        <f t="array" ref="HB4">TEXT(INDEX(TBL_ADD_03_Dates[Date], MATCH(1, ("Final"=TBL_ADD_03_Dates[Stage])*("Clarification"=TBL_ADD_03_Dates[Activity]),0)), "d MMMM YYYY")</f>
        <v/>
      </c>
      <c r="HC4" s="397" t="str">
        <f t="array" ref="HC4">TEXT(INDEX(TBL_ADD_03_Dates[Date], MATCH(1, ("Final"=TBL_ADD_03_Dates[Stage])*("Return"=TBL_ADD_03_Dates[Activity]),0)), "d MMMM YYYY")</f>
        <v/>
      </c>
      <c r="HD4" s="397" t="str">
        <f t="array" ref="HD4">IF(INDEX(TBL_ADD_03_Dates[Date], MATCH(1, ("Final"=TBL_ADD_03_Dates[Stage])*("Time"=TBL_ADD_03_Dates[Activity]),0))=0.5,"12:00 noon",IF(INDEX(TBL_ADD_03_Dates[Date], MATCH(1, ("Final"=TBL_ADD_03_Dates[Stage])*("Time"=TBL_ADD_03_Dates[Activity]),0))&lt;0.5, CONCATENATE(HOUR(INDEX(TBL_ADD_03_Dates[Date], MATCH(1, ("Final"=TBL_ADD_03_Dates[Stage])*("Time"=TBL_ADD_03_Dates[Activity]),0))), ":00 am"),CONCATENATE((HOUR(INDEX(TBL_ADD_03_Dates[Date], MATCH(1, ("Final"=TBL_ADD_03_Dates[Stage])*("Time"=TBL_ADD_03_Dates[Activity]),0)))-12), ":00 pm")))</f>
        <v>0:00 am</v>
      </c>
      <c r="HE4" s="397" t="str">
        <f t="array" ref="HE4">TEXT(INDEX(TBL_ADD_03_Dates[Date], MATCH(1, ("Final"=TBL_ADD_03_Dates[Stage])*("IntSV_Advise"=TBL_ADD_03_Dates[Activity]),0)), "d MMMM YYYY")</f>
        <v>0 January 1900</v>
      </c>
      <c r="HF4" s="397">
        <f t="array" ref="HF4">INDEX(TBL_ADD_03_Dates[Date], MATCH(1, ("Final"=TBL_ADD_03_Dates[Stage])*("IntSV_Start"=TBL_ADD_03_Dates[Activity]),0))</f>
        <v>0</v>
      </c>
      <c r="HG4" s="397">
        <f t="array" ref="HG4">INDEX(TBL_ADD_03_Dates[Date], MATCH(1, ("Final"=TBL_ADD_03_Dates[Stage])*("IntSV_End"=TBL_ADD_03_Dates[Activity]),0))</f>
        <v>0</v>
      </c>
      <c r="HH4" s="391" t="str">
        <f>IF(TBL_DATA_00_Doc_Merge[[#This Row],[Final_IntSV_Start]]=TBL_DATA_00_Doc_Merge[[#This Row],[Final_IntSV_End]], CONCATENATE("on ", TEXT(TBL_DATA_00_Doc_Merge[[#This Row],[Final_IntSV_Start]], "DDDD"), " ", DAY(TBL_DATA_00_Doc_Merge[[#This Row],[Final_IntSV_Start]]),"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"")&lt;&gt;"", CONCATENATE("between ", TEXT(TBL_DATA_00_Doc_Merge[[#This Row],[Final_IntSV_Start]], "DDDD"), " ", DAY(TBL_DATA_00_Doc_Merge[[#This Row],[Final_IntSV_Start]]), " and ", TEXT(TBL_DATA_00_Doc_Merge[[#This Row],[Final_IntSV_End]], "DDDD"), " ", DAY(TBL_DATA_00_Doc_Merge[[#This Row],[Final_IntSV_End]]),"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IF(YEAR(TBL_DATA_00_Doc_Merge[[#This Row],[Final_IntSV_Start]])=YEAR(TBL_DATA_00_Doc_Merge[[#This Row],[Final_IntSV_End]]), CONCATENATE("between ", TEXT(TBL_DATA_00_Doc_Merge[[#This Row],[Final_IntSV_Start]], "DDDD"), " ", DAY(TBL_DATA_00_Doc_Merge[[#This Row],[Final_IntSV_Start]]), " ", TEXT(TBL_DATA_00_Doc_Merge[[#This Row],[Final_IntSV_Start]], "MMMM"), " and ", TEXT(TBL_DATA_00_Doc_Merge[[#This Row],[Final_IntSV_End]], "DDDD"), " ", DAY(TBL_DATA_00_Doc_Merge[[#This Row],[Final_IntSV_End]])," ",  TEXT(TBL_DATA_00_Doc_Merge[[#This Row],[Final_IntSV_End]], "MMMM")," ",YEAR(TBL_DATA_00_Doc_Merge[[#This Row],[Final_IntSV_End]])), CONCATENATE("between ", TEXT(TBL_DATA_00_Doc_Merge[[#This Row],[Final_IntSV_Start]], "DDDD"), " ", DAY(TBL_DATA_00_Doc_Merge[[#This Row],[Final_IntSV_Start]]), " ", TEXT(TBL_DATA_00_Doc_Merge[[#This Row],[Final_IntSV_Start]], "MMMM")," ", YEAR(TBL_DATA_00_Doc_Merge[[#This Row],[Final_IntSV_Start]]), " and ", TEXT(TBL_DATA_00_Doc_Merge[[#This Row],[Final_IntSV_End]], "DDDD"), " ", DAY(TBL_DATA_00_Doc_Merge[[#This Row],[Final_IntSV_End]])," ",  TEXT(TBL_DATA_00_Doc_Merge[[#This Row],[Final_IntSV_End]], "MMMM")," ",YEAR(TBL_DATA_00_Doc_Merge[[#This Row],[Final_IntSV_End]])))))</f>
        <v>on Saturday 0 January 1900</v>
      </c>
      <c r="HI4" s="397">
        <f t="array" ref="HI4">INDEX(TBL_ADD_03_Dates[Date], MATCH(1, ("Award"=TBL_ADD_03_Dates[Stage])*("Award"=TBL_ADD_03_Dates[Activity]),0))</f>
        <v>0</v>
      </c>
      <c r="HJ4" s="396" t="str">
        <f>'Project Info'!$K$45</f>
        <v>Yes</v>
      </c>
      <c r="HK4" s="396" t="str">
        <f>IF(TBL_DATA_00_Doc_Merge[[#This Row],[Uplift]]="No","N/A", IF('Project Info'!$L$46&lt;&gt;"", 'Project Info'!$L$46, 'Project Info'!$K$46))</f>
        <v>CPI</v>
      </c>
      <c r="HL4" s="398">
        <f t="array" ref="HL4">IF(TBL_DATA_00_Doc_Merge[[#This Row],[Uplift]]="No", "N/A", INDEX(TBL_ADD_03_Dates[Date], MATCH(1, ("Uplift"=TBL_ADD_03_Dates[Stage])*("Uplift"=TBL_ADD_03_Dates[Activity]),0)))</f>
        <v>0</v>
      </c>
      <c r="HM4" s="396" t="e">
        <f>IF(TBL_DATA_00_Doc_Merge[[#This Row],[Uplift_date]]="N/A", CONCATENATE("the end of the ", TBL_DATA_00_Doc_Merge[[#This Row],[contract_or_fw]]), TEXT(TBL_DATA_00_Doc_Merge[[#This Row],[Uplift_date]]-1, "d MMMM yyyy"))</f>
        <v>#VALUE!</v>
      </c>
      <c r="HN4" s="396" t="e">
        <f>IF(#REF!="Section not applicable",  'Project Info'!$K$42,  "Yes")</f>
        <v>#REF!</v>
      </c>
      <c r="HO4" s="399" t="str">
        <f>IF(Response!$A$2&lt;&gt;"", Response!$A$2, "")</f>
        <v>Purdy Contracts Ltd</v>
      </c>
      <c r="HQ4" t="s">
        <v>2148</v>
      </c>
    </row>
    <row r="5" spans="1:228" ht="137.5" hidden="1">
      <c r="A5" s="396" t="s">
        <v>352</v>
      </c>
      <c r="B5" s="400" t="s">
        <v>342</v>
      </c>
      <c r="C5" s="390">
        <f>'Project Info'!$K$5</f>
        <v>0</v>
      </c>
      <c r="D5" s="360" t="str">
        <f>'Project Info'!$K$9</f>
        <v>Royal Borough of Greenwich</v>
      </c>
      <c r="E5" s="360" t="str">
        <f>'Project Info'!$K$10</f>
        <v>Royal Greenwich</v>
      </c>
      <c r="F5" s="360" t="str">
        <f>CONCATENATE('Project Info'!$K$7, " for ", TBL_DATA_00_Doc_Merge[[#This Row],[Lot_Ref]], " (", TBL_DATA_00_Doc_Merge[[#This Row],[Lot_1_Name]], ")")</f>
        <v>Major and Responsive Repairs and Void Refurbishment Contract for Lot 3 (N/A)</v>
      </c>
      <c r="G5" s="360" t="str">
        <f>'Project Info'!$K$8</f>
        <v>major and responsve repairs and void refurbishment works</v>
      </c>
      <c r="H5" s="360" t="str">
        <f>'Project Info'!$K$11</f>
        <v>The Woolwich Centre, 35 Wellington Street, Woolwich, SE18 6HQ.</v>
      </c>
      <c r="I5" s="360" t="str">
        <f>'Project Info'!$K$12</f>
        <v>Areas of Greenwich, Greenwich Peninsula, Charlton, Plumstead, Kidbrooke, Eltham, Woolwich, Thamesmead and Abbey Wood</v>
      </c>
      <c r="J5" s="360" t="str">
        <f>'Project Info'!$L$6</f>
        <v>JW</v>
      </c>
      <c r="K5" s="360" t="str">
        <f t="array" ref="K5">IF(INDEX(TBL_ADD_02_Project_Info[Response], MATCH(1, ("Author"=TBL_ADD_02_Project_Info[Ref])*("All"=TBL_ADD_02_Project_Info[Lot]), 0))&lt;&gt;"", INDEX(TBL_ADD_02_Project_Info[Response], MATCH(1, ("Author"=TBL_ADD_02_Project_Info[Ref])*("All"=TBL_ADD_02_Project_Info[Lot]), 0)), "Add on Eval Info")</f>
        <v>Julie Watts</v>
      </c>
      <c r="L5" s="360" t="str" cm="1">
        <f t="array" ref="L5">IF(INDEX(TBL_ADD_02_Project_Info[Response], MATCH(1, ("Office"=TBL_ADD_02_Project_Info[Ref])*("All"=TBL_ADD_02_Project_Info[Lot]), 0))&lt;&gt;"", INDEX(TBL_ADD_02_Project_Info[Response], MATCH(1, ("Office"=TBL_ADD_02_Project_Info[Ref])*("All"=TBL_ADD_02_Project_Info[Lot]), 0)), "Add on Eval Info")</f>
        <v>Orpington</v>
      </c>
      <c r="M5" s="360" t="str">
        <f>IF(TBL_DATA_00_Doc_Merge[[#This Row],[DOC_Office]]="Add on Eval Info", "Add on Eval Info", VLOOKUP(TBL_DATA_00_Doc_Merge[[#This Row],[DOC_Office]], TBL_REF_04_Offices[], 2, FALSE))</f>
        <v>Central Court, Knoll Rise, Orpington, BR6 0JA</v>
      </c>
      <c r="N5" s="360" t="str">
        <f>IF(TBL_DATA_00_Doc_Merge[[#This Row],[DOC_Office]]="Add on Eval Info", "Add on Eval Info", VLOOKUP(TBL_DATA_00_Doc_Merge[[#This Row],[DOC_Office]], TBL_REF_04_Offices[], 3, FALSE))</f>
        <v>01689 885 080</v>
      </c>
      <c r="O5" s="391" t="str">
        <f>IF(TBL_DATA_00_Doc_Merge[[#This Row],[Tender_Type]]="Final Tender", TEXT(Dates!$H$33, "d MMMM YYYY"), IF(OR( TBL_DATA_00_Doc_Merge[[#This Row],[Tender_Type]]="Initial Tender", TBL_DATA_00_Doc_Merge[[#This Row],[Tender_Type]]="Tender"), IF('Project Info'!$K$29="Draft", TEXT(Dates!$H$5, "d MMMM YYYY"), TEXT(Dates!$H$14, "d MMMM YYYY")), IF(TBL_DATA_00_Doc_Merge[[#This Row],[Procedure]]="Open Procedure", TEXT(Dates!$H$14, "d MMMM YYYY"), TEXT(Dates!$H$5, "d MMMM YYYY"))))</f>
        <v>0 January 1900</v>
      </c>
      <c r="P5" s="360" t="str">
        <f>'Project Info'!$K$14</f>
        <v>Open Procedure</v>
      </c>
      <c r="Q5" s="360" t="str">
        <f>IF(OR('Project Info'!$K$16="Greater than £4.5M", 'Project Info'!$K$16="Greater than £181K"), "Above", "Below")</f>
        <v>Below</v>
      </c>
      <c r="R5" s="360" t="str">
        <f>IF('Project Info'!$K$14="Open Procedure", "Open", IF('Project Info'!$K$28="SQ", "Selection", "Tender"))</f>
        <v>Open</v>
      </c>
      <c r="S5" s="360" t="str">
        <f>'Project Info'!$K$28</f>
        <v>Tender</v>
      </c>
      <c r="T5" s="360" t="str">
        <f>IF(TBL_DATA_00_Doc_Merge[[#This Row],[Doc_Type]]="Selection", $HQ$2, IF(TBL_DATA_00_Doc_Merge[[#This Row],[Doc_Type]]="Open", $HQ$2&amp;" and Tender", IF(TBL_DATA_00_Doc_Merge[[#This Row],[Tender_Type]]="Initial", $HQ$4&amp;"n Initial Tender", IF(TBL_DATA_00_Doc_Merge[[#This Row],[Tender_Type]]="Final", $HQ$4&amp;"Final Tender", $HQ$3))))</f>
        <v>Request to Participate and Tender</v>
      </c>
      <c r="U5" s="360" t="str">
        <f>IF(TBL_DATA_00_Doc_Merge[[#This Row],[Doc_Type]]="Selection", TBL_DATA_00_Doc_Merge[[#This Row],[PAS_or_SQ]], IF(TBL_DATA_00_Doc_Merge[[#This Row],[Doc_Type]]="Open", "Tender", IF(TBL_DATA_00_Doc_Merge[[#This Row],[Tender_Type]]="Initial", "ISIT", IF(TBL_DATA_00_Doc_Merge[[#This Row],[Tender_Type]]="Final", "ISFT", "ITT"))))</f>
        <v>Tender</v>
      </c>
      <c r="V5" s="360" t="str">
        <f>'Project Info'!$K$18</f>
        <v>PAS</v>
      </c>
      <c r="W5" s="360" t="str">
        <f>'Project Info'!$K$19</f>
        <v>No</v>
      </c>
      <c r="X5" s="360" t="str">
        <f>'Project Info'!$K$15</f>
        <v>works</v>
      </c>
      <c r="Y5" s="360" t="str">
        <f>'Project Info'!$K$37</f>
        <v>contracts</v>
      </c>
      <c r="Z5" s="360" t="str">
        <f t="shared" si="0"/>
        <v>No</v>
      </c>
      <c r="AA5" s="360">
        <f t="shared" si="1"/>
        <v>0</v>
      </c>
      <c r="AB5" s="360" t="str">
        <f>VLOOKUP(TBL_DATA_00_Doc_Merge[[#This Row],[No_of_Lots]], TBL_REF_01_Number[], 2, FALSE)&amp;IF(TBL_DATA_00_Doc_Merge[[#This Row],[No_of_Lots]]=1, " Lot", " Lots")</f>
        <v>zero Lots</v>
      </c>
      <c r="AC5" s="360" t="str">
        <f>IF('Project Info'!$K$38="Partnering", IF(OR('Project Info'!$K$39=$HS$2, 'Project Info'!$K$39=$HS$3), "TAC", "TPC"), 'Project Info'!$K$38)</f>
        <v>JCT</v>
      </c>
      <c r="AD5" s="360" t="str">
        <f>'Project Info'!$K$40</f>
        <v>Contractor</v>
      </c>
      <c r="AE5" s="395" t="str">
        <f t="shared" si="2"/>
        <v>No</v>
      </c>
      <c r="AF5" s="396" t="str">
        <f>IF('Project Info'!$K$17="Yes", "Yes", "No")</f>
        <v>Yes</v>
      </c>
      <c r="AG5" s="396" t="str">
        <f>IF('Project Info'!$K$30&lt;&gt;"", 'Project Info'!$K$30, "")</f>
        <v/>
      </c>
      <c r="AH5" s="396" t="str">
        <f>IF($HT$2='Project Info'!$K$20, 'Project Info'!$L$20, 'Project Info'!$K$20)</f>
        <v>Proactis</v>
      </c>
      <c r="AI5" s="396" t="str">
        <f>IF(TBL_DATA_00_Doc_Merge[[#This Row],[Doc_Type]]="Open", TEXT(Dates!$H$14, "d MMMM YYYY"), TEXT(Dates!$H$5, "d MMMM YYYY"))</f>
        <v>0 January 1900</v>
      </c>
      <c r="AJ5" s="396" t="str">
        <f t="array" ref="AJ5">IFERROR(INDEX(TBL_DATA_01_Lot_Info[Name], MATCH(1, (TBL_DATA_00_Doc_Merge[[#This Row],[Lot]]=TBL_DATA_01_Lot_Info[Lot])*("Yes"=TBL_DATA_01_Lot_Info[Include?]), 0)), "N/A")</f>
        <v>N/A</v>
      </c>
      <c r="AK5" s="396" t="str">
        <f t="array" ref="AK5">IFERROR(INDEX(TBL_DATA_01_Lot_Info[Description], MATCH(1, (TBL_DATA_00_Doc_Merge[[#This Row],[Lot]]=TBL_DATA_01_Lot_Info[Lot])*("Yes"=TBL_DATA_01_Lot_Info[Include?]), 0)), "N/A")</f>
        <v>N/A</v>
      </c>
      <c r="AL5" s="396" t="str">
        <f t="array" ref="AL5">IFERROR(INDEX(TBL_DATA_01_Lot_Info[Props_Approx], MATCH(1, (TBL_DATA_00_Doc_Merge[[#This Row],[Lot]]=TBL_DATA_01_Lot_Info[Lot])*("Yes"=TBL_DATA_01_Lot_Info[Include?]), 0)), "N/A")</f>
        <v>N/A</v>
      </c>
      <c r="AM5" s="396" t="str">
        <f t="array" ref="AM5">IFERROR(INDEX(TBL_DATA_01_Lot_Info[Props_No], MATCH(1, (TBL_DATA_00_Doc_Merge[[#This Row],[Lot]]=TBL_DATA_01_Lot_Info[Lot])*("Yes"=TBL_DATA_01_Lot_Info[Include?]), 0)), "N/A")</f>
        <v>N/A</v>
      </c>
      <c r="AN5" s="396" t="str">
        <f t="array" ref="AN5">IFERROR(INDEX(TBL_DATA_01_Lot_Info[Props_Type], MATCH(1, (TBL_DATA_00_Doc_Merge[[#This Row],[Lot]]=TBL_DATA_01_Lot_Info[Lot])*("Yes"=TBL_DATA_01_Lot_Info[Include?]), 0)), "N/A")</f>
        <v>N/A</v>
      </c>
      <c r="AO5" s="396" t="str">
        <f t="array" ref="AO5">IFERROR(INDEX(TBL_DATA_01_Lot_Info[Value_type], MATCH(1, (TBL_DATA_00_Doc_Merge[[#This Row],[Lot]]=TBL_DATA_01_Lot_Info[Lot])*("Yes"=TBL_DATA_01_Lot_Info[Include?]), 0)), "N/A")</f>
        <v>N/A</v>
      </c>
      <c r="AP5" s="396" t="str">
        <f t="array" ref="AP5">IFERROR(INDEX(TBL_DATA_01_Lot_Info[Value_Max], MATCH(1, (TBL_DATA_00_Doc_Merge[[#This Row],[Lot]]=TBL_DATA_01_Lot_Info[Lot])*("Yes"=TBL_DATA_01_Lot_Info[Include?]), 0)), "N/A")</f>
        <v>N/A</v>
      </c>
      <c r="AQ5" s="396" t="str">
        <f t="array" ref="AQ5">IFERROR(INDEX(TBL_DATA_01_Lot_Info[Value_Min], MATCH(1, (TBL_DATA_00_Doc_Merge[[#This Row],[Lot]]=TBL_DATA_01_Lot_Info[Lot])*("Yes"=TBL_DATA_01_Lot_Info[Include?]), 0)), "N/A")</f>
        <v>N/A</v>
      </c>
      <c r="AR5" s="396" t="str">
        <f t="array" ref="AR5">IFERROR(IF(INDEX(TBL_DATA_01_Lot_Info[ITT_Min], MATCH(1, (TBL_DATA_00_Doc_Merge[[#This Row],[Lot]]=TBL_DATA_01_Lot_Info[Lot])*("Yes"=TBL_DATA_01_Lot_Info[Include?]), 0))&lt;=10, VLOOKUP(INDEX(TBL_DATA_01_Lot_Info[ITT_Min], MATCH(1, (TBL_DATA_00_Doc_Merge[[#This Row],[Lot]]=TBL_DATA_01_Lot_Info[Lot])*("Yes"=TBL_DATA_01_Lot_Info[Include?]), 0)), TBL_REF_01_Number[], 2, FALSE), INDEX(TBL_DATA_01_Lot_Info[ITT_Min], MATCH(1, (TBL_DATA_00_Doc_Merge[[#This Row],[Lot]]=TBL_DATA_01_Lot_Info[Lot])*("Yes"=TBL_DATA_01_Lot_Info[Include?]), 0))), "N/A")</f>
        <v>N/A</v>
      </c>
      <c r="AS5" s="396" t="str">
        <f t="array" ref="AS5">IFERROR(IF(INDEX(TBL_DATA_01_Lot_Info[ITT_Max], MATCH(1, (TBL_DATA_00_Doc_Merge[[#This Row],[Lot]]=TBL_DATA_01_Lot_Info[Lot])*("Yes"=TBL_DATA_01_Lot_Info[Include?]), 0))&lt;=10, VLOOKUP(INDEX(TBL_DATA_01_Lot_Info[ITT_Max], MATCH(1, (TBL_DATA_00_Doc_Merge[[#This Row],[Lot]]=TBL_DATA_01_Lot_Info[Lot])*("Yes"=TBL_DATA_01_Lot_Info[Include?]), 0)), TBL_REF_01_Number[], 2, FALSE), INDEX(TBL_DATA_01_Lot_Info[ITT_Max], MATCH(1, (TBL_DATA_00_Doc_Merge[[#This Row],[Lot]]=TBL_DATA_01_Lot_Info[Lot])*("Yes"=TBL_DATA_01_Lot_Info[Include?]), 0))), "N/A")</f>
        <v>N/A</v>
      </c>
      <c r="AT5" s="396" t="str">
        <f t="array" ref="AT5">IFERROR(IF(INDEX(TBL_DATA_01_Lot_Info[Neg_Min], MATCH(1, (TBL_DATA_00_Doc_Merge[[#This Row],[Lot]]=TBL_DATA_01_Lot_Info[Lot])*("Yes"=TBL_DATA_01_Lot_Info[Include?]), 0))&lt;=10, VLOOKUP(INDEX(TBL_DATA_01_Lot_Info[Neg_Min], MATCH(1, (TBL_DATA_00_Doc_Merge[[#This Row],[Lot]]=TBL_DATA_01_Lot_Info[Lot])*("Yes"=TBL_DATA_01_Lot_Info[Include?]), 0)), TBL_REF_01_Number[], 2, FALSE), INDEX(TBL_DATA_01_Lot_Info[Neg_Min], MATCH(1, (TBL_DATA_00_Doc_Merge[[#This Row],[Lot]]=TBL_DATA_01_Lot_Info[Lot])*("Yes"=TBL_DATA_01_Lot_Info[Include?]), 0))), "N/A")</f>
        <v>N/A</v>
      </c>
      <c r="AU5" s="396" t="str">
        <f t="array" ref="AU5">IFERROR(IF(INDEX(TBL_DATA_01_Lot_Info[Neg_Max], MATCH(1, (TBL_DATA_00_Doc_Merge[[#This Row],[Lot]]=TBL_DATA_01_Lot_Info[Lot])*("Yes"=TBL_DATA_01_Lot_Info[Include?]), 0))&lt;=10, VLOOKUP(INDEX(TBL_DATA_01_Lot_Info[Neg_Max], MATCH(1, (TBL_DATA_00_Doc_Merge[[#This Row],[Lot]]=TBL_DATA_01_Lot_Info[Lot])*("Yes"=TBL_DATA_01_Lot_Info[Include?]), 0)), TBL_REF_01_Number[], 2, FALSE), INDEX(TBL_DATA_01_Lot_Info[Neg_Max], MATCH(1, (TBL_DATA_00_Doc_Merge[[#This Row],[Lot]]=TBL_DATA_01_Lot_Info[Lot])*("Yes"=TBL_DATA_01_Lot_Info[Include?]), 0))), "N/A")</f>
        <v>N/A</v>
      </c>
      <c r="AV5" s="396" t="str">
        <f t="array" ref="AV5">IFERROR(IF(INDEX(TBL_DATA_01_Lot_Info[ISFT_Min], MATCH(1, (TBL_DATA_00_Doc_Merge[[#This Row],[Lot]]=TBL_DATA_01_Lot_Info[Lot])*("Yes"=TBL_DATA_01_Lot_Info[Include?]), 0))&lt;=10, VLOOKUP(INDEX(TBL_DATA_01_Lot_Info[ISFT_Min], MATCH(1, (TBL_DATA_00_Doc_Merge[[#This Row],[Lot]]=TBL_DATA_01_Lot_Info[Lot])*("Yes"=TBL_DATA_01_Lot_Info[Include?]), 0)), TBL_REF_01_Number[], 2, FALSE), INDEX(TBL_DATA_01_Lot_Info[ISFT_Min], MATCH(1, (TBL_DATA_00_Doc_Merge[[#This Row],[Lot]]=TBL_DATA_01_Lot_Info[Lot])*("Yes"=TBL_DATA_01_Lot_Info[Include?]), 0))), "N/A")</f>
        <v>N/A</v>
      </c>
      <c r="AW5" s="396" t="str">
        <f t="array" ref="AW5">IFERROR(IF(INDEX(TBL_DATA_01_Lot_Info[ISFT_Max], MATCH(1, (TBL_DATA_00_Doc_Merge[[#This Row],[Lot]]=TBL_DATA_01_Lot_Info[Lot])*("Yes"=TBL_DATA_01_Lot_Info[Include?]), 0))&lt;=10, VLOOKUP(INDEX(TBL_DATA_01_Lot_Info[ISFT_Max], MATCH(1, (TBL_DATA_00_Doc_Merge[[#This Row],[Lot]]=TBL_DATA_01_Lot_Info[Lot])*("Yes"=TBL_DATA_01_Lot_Info[Include?]), 0)), TBL_REF_01_Number[], 2, FALSE), INDEX(TBL_DATA_01_Lot_Info[ISFT_Max], MATCH(1, (TBL_DATA_00_Doc_Merge[[#This Row],[Lot]]=TBL_DATA_01_Lot_Info[Lot])*("Yes"=TBL_DATA_01_Lot_Info[Include?]), 0))), "N/A")</f>
        <v>N/A</v>
      </c>
      <c r="AX5" s="396" t="str">
        <f t="array" ref="AX5">IFERROR(IF(INDEX(TBL_DATA_01_Lot_Info[Cons_Min], MATCH(1, (TBL_DATA_00_Doc_Merge[[#This Row],[Lot]]=TBL_DATA_01_Lot_Info[Lot])*("Yes"=TBL_DATA_01_Lot_Info[Include?]), 0))&lt;=10, VLOOKUP(INDEX(TBL_DATA_01_Lot_Info[Cons_Min], MATCH(1, (TBL_DATA_00_Doc_Merge[[#This Row],[Lot]]=TBL_DATA_01_Lot_Info[Lot])*("Yes"=TBL_DATA_01_Lot_Info[Include?]), 0)), TBL_REF_01_Number[], 2, FALSE), INDEX(TBL_DATA_01_Lot_Info[Cons_Min], MATCH(1, (TBL_DATA_00_Doc_Merge[[#This Row],[Lot]]=TBL_DATA_01_Lot_Info[Lot])*("Yes"=TBL_DATA_01_Lot_Info[Include?]), 0))), "N/A")</f>
        <v>N/A</v>
      </c>
      <c r="AY5" s="396" t="str">
        <f t="array" ref="AY5">IFERROR(IF(INDEX(TBL_DATA_01_Lot_Info[Cons_Max], MATCH(1, (TBL_DATA_00_Doc_Merge[[#This Row],[Lot]]=TBL_DATA_01_Lot_Info[Lot])*("Yes"=TBL_DATA_01_Lot_Info[Include?]), 0))&lt;=10, VLOOKUP(INDEX(TBL_DATA_01_Lot_Info[Cons_Max], MATCH(1, (TBL_DATA_00_Doc_Merge[[#This Row],[Lot]]=TBL_DATA_01_Lot_Info[Lot])*("Yes"=TBL_DATA_01_Lot_Info[Include?]), 0)), TBL_REF_01_Number[], 2, FALSE), INDEX(TBL_DATA_01_Lot_Info[Cons_Max], MATCH(1, (TBL_DATA_00_Doc_Merge[[#This Row],[Lot]]=TBL_DATA_01_Lot_Info[Lot])*("Yes"=TBL_DATA_01_Lot_Info[Include?]), 0))), "N/A")</f>
        <v>N/A</v>
      </c>
      <c r="AZ5" s="396" t="s">
        <v>24</v>
      </c>
      <c r="BA5" s="396" t="s">
        <v>24</v>
      </c>
      <c r="BB5" s="396" t="s">
        <v>24</v>
      </c>
      <c r="BC5" s="396" t="s">
        <v>24</v>
      </c>
      <c r="BD5" s="396" t="s">
        <v>24</v>
      </c>
      <c r="BE5" s="396" t="s">
        <v>24</v>
      </c>
      <c r="BF5" s="396" t="s">
        <v>24</v>
      </c>
      <c r="BG5" s="396" t="s">
        <v>24</v>
      </c>
      <c r="BH5" s="396" t="s">
        <v>24</v>
      </c>
      <c r="BI5" s="396" t="s">
        <v>24</v>
      </c>
      <c r="BJ5" s="396" t="s">
        <v>24</v>
      </c>
      <c r="BK5" s="396" t="s">
        <v>24</v>
      </c>
      <c r="BL5" s="396" t="s">
        <v>24</v>
      </c>
      <c r="BM5" s="396" t="s">
        <v>24</v>
      </c>
      <c r="BN5" s="396" t="s">
        <v>24</v>
      </c>
      <c r="BO5" s="396" t="s">
        <v>24</v>
      </c>
      <c r="BP5" s="396" t="s">
        <v>24</v>
      </c>
      <c r="BQ5" s="396" t="s">
        <v>24</v>
      </c>
      <c r="BR5" s="396" t="s">
        <v>24</v>
      </c>
      <c r="BS5" s="396" t="s">
        <v>24</v>
      </c>
      <c r="BT5" s="396" t="s">
        <v>24</v>
      </c>
      <c r="BU5" s="396" t="s">
        <v>24</v>
      </c>
      <c r="BV5" s="396" t="s">
        <v>24</v>
      </c>
      <c r="BW5" s="396" t="s">
        <v>24</v>
      </c>
      <c r="BX5" s="396" t="s">
        <v>24</v>
      </c>
      <c r="BY5" s="396" t="s">
        <v>24</v>
      </c>
      <c r="BZ5" s="396" t="s">
        <v>24</v>
      </c>
      <c r="CA5" s="396" t="s">
        <v>24</v>
      </c>
      <c r="CB5" s="396" t="s">
        <v>24</v>
      </c>
      <c r="CC5" s="396" t="s">
        <v>24</v>
      </c>
      <c r="CD5" s="396" t="s">
        <v>24</v>
      </c>
      <c r="CE5" s="396" t="s">
        <v>24</v>
      </c>
      <c r="CF5" s="396" t="s">
        <v>24</v>
      </c>
      <c r="CG5" s="396" t="s">
        <v>24</v>
      </c>
      <c r="CH5" s="396" t="s">
        <v>24</v>
      </c>
      <c r="CI5" s="396" t="s">
        <v>24</v>
      </c>
      <c r="CJ5" s="396" t="s">
        <v>24</v>
      </c>
      <c r="CK5" s="396" t="s">
        <v>24</v>
      </c>
      <c r="CL5" s="396" t="s">
        <v>24</v>
      </c>
      <c r="CM5" s="396" t="s">
        <v>24</v>
      </c>
      <c r="CN5" s="396" t="s">
        <v>24</v>
      </c>
      <c r="CO5" s="396" t="s">
        <v>24</v>
      </c>
      <c r="CP5" s="396" t="s">
        <v>24</v>
      </c>
      <c r="CQ5" s="396" t="s">
        <v>24</v>
      </c>
      <c r="CR5" s="396" t="s">
        <v>24</v>
      </c>
      <c r="CS5" s="396" t="s">
        <v>24</v>
      </c>
      <c r="CT5" s="396" t="s">
        <v>24</v>
      </c>
      <c r="CU5" s="396" t="s">
        <v>24</v>
      </c>
      <c r="CV5" s="396" t="s">
        <v>24</v>
      </c>
      <c r="CW5" s="396" t="s">
        <v>24</v>
      </c>
      <c r="CX5" s="396" t="s">
        <v>24</v>
      </c>
      <c r="CY5" s="396" t="s">
        <v>24</v>
      </c>
      <c r="CZ5" s="396" t="s">
        <v>24</v>
      </c>
      <c r="DA5" s="396" t="s">
        <v>24</v>
      </c>
      <c r="DB5" s="396" t="s">
        <v>24</v>
      </c>
      <c r="DC5" s="396" t="s">
        <v>24</v>
      </c>
      <c r="DD5" s="396" t="s">
        <v>24</v>
      </c>
      <c r="DE5" s="396" t="s">
        <v>24</v>
      </c>
      <c r="DF5" s="396" t="s">
        <v>24</v>
      </c>
      <c r="DG5" s="396" t="s">
        <v>24</v>
      </c>
      <c r="DH5" s="396" t="s">
        <v>24</v>
      </c>
      <c r="DI5" s="396" t="s">
        <v>24</v>
      </c>
      <c r="DJ5" s="396" t="s">
        <v>24</v>
      </c>
      <c r="DK5" s="396" t="s">
        <v>24</v>
      </c>
      <c r="DL5" s="396" t="str">
        <f>IF(TBL_DATA_00_Doc_Merge[[#This Row],[Doc_Type]]="Selection", "Candidate", IF(TBL_DATA_00_Doc_Merge[[#This Row],[Doc_Type]]="Open", "Supplier", "Tenderer"))</f>
        <v>Supplier</v>
      </c>
      <c r="DM5" s="396" t="str">
        <f>TEXT(Dates!$H$50, "MMMM, YYYY")</f>
        <v>January, 1900</v>
      </c>
      <c r="DN5" s="396" t="str">
        <f t="array" ref="DN5">IFERROR(INDEX(TBL_ADD_02_Project_Info[Response], MATCH(1, ("All"=TBL_ADD_02_Project_Info[Lot])*("Value_type"=TBL_ADD_02_Project_Info[Ref]), 0)), "N/A")</f>
        <v>Single figure</v>
      </c>
      <c r="DO5" s="396" t="str">
        <f t="array" ref="DO5">IFERROR(TEXT(INDEX(TBL_ADD_02_Project_Info[Response], MATCH(1, ("All"=TBL_ADD_02_Project_Info[Lot])*("Value_Max"=TBL_ADD_02_Project_Info[Ref]), 0)), "£ #,###.00"), "N/A")</f>
        <v>£ 56,000,000.00</v>
      </c>
      <c r="DP5" s="396" t="str">
        <f t="array" ref="DP5">IFERROR(TEXT(INDEX(TBL_ADD_02_Project_Info[Response], MATCH(1, ("All"=TBL_ADD_02_Project_Info[Lot])*("Value_Min"=TBL_ADD_02_Project_Info[Ref]), 0)), "£ #,###.00"), "N/A")</f>
        <v>£ .00</v>
      </c>
      <c r="DQ5" s="396" t="str">
        <f>IF('Project Info'!$K$56&gt;=11, 'Project Info'!$K$56, VLOOKUP('Project Info'!$K$56, TBL_REF_01_Number[], 2, FALSE))</f>
        <v>four</v>
      </c>
      <c r="DR5" s="360" t="str">
        <f>IF('Project Info'!$K$57&gt;=11, 'Project Info'!$K$57, VLOOKUP('Project Info'!$K$57, TBL_REF_01_Number[], 2, FALSE))</f>
        <v>four</v>
      </c>
      <c r="DS5" s="360" t="str">
        <f>IF('Project Info'!$K$38="Other (please provide info)", 'Project Info'!$L$38, 'Project Info'!$K$39)</f>
        <v>JCT Measured Term Contract (2016) published by The Joint Contracts Tribunal (JCT)</v>
      </c>
      <c r="DT5" s="360" t="str">
        <f>'Project Info'!$K$41</f>
        <v>Contract Administrator</v>
      </c>
      <c r="DU5" s="360" t="str">
        <f>'Project Info'!$L$41</f>
        <v>CA</v>
      </c>
      <c r="DV5" s="360" t="str">
        <f>SUBSTITUTE('Project Info'!$K$48, "s", "")</f>
        <v>year</v>
      </c>
      <c r="DW5" s="360" t="str">
        <f>IF('Project Info'!$K$49&gt;10, 'Project Info'!$K$49, VLOOKUP('Project Info'!$K$49, TBL_REF_01_Number[], 2, FALSE))&amp;" "&amp;IF('Project Info'!$K$49&gt;1, TBL_DATA_00_Doc_Merge[[#This Row],[Duration_type]]&amp;"s", TBL_DATA_00_Doc_Merge[[#This Row],[Duration_type]])</f>
        <v>four years</v>
      </c>
      <c r="DX5" s="360" t="str">
        <f>IF('Project Info'!$K$50&gt;10, 'Project Info'!$K$50, VLOOKUP('Project Info'!$K$50, TBL_REF_01_Number[], 2, FALSE))&amp;" "&amp;IF('Project Info'!$K$50&gt;1, TBL_DATA_00_Doc_Merge[[#This Row],[Duration_type]]&amp;"s", TBL_DATA_00_Doc_Merge[[#This Row],[Duration_type]])</f>
        <v>seven years</v>
      </c>
      <c r="DY5" s="360" t="str">
        <f>IF('Project Info'!$K$50='Project Info'!$K$49, "N/A", IF('Project Info'!$K$50-'Project Info'!$K$49&gt;10, 'Project Info'!$K$50-'Project Info'!$K$49&amp;" "&amp;TBL_DATA_00_Doc_Merge[[#This Row],[Duration_type]]&amp;"s", VLOOKUP('Project Info'!$K$50-'Project Info'!$K$49, TBL_REF_01_Number[], 2, FALSE))&amp;" "&amp;IF('Project Info'!$K$50-'Project Info'!$K$49&gt;1, TBL_DATA_00_Doc_Merge[[#This Row],[Duration_type]]&amp;"s", TBL_DATA_00_Doc_Merge[[#This Row],[Duration_type]]))</f>
        <v>three years</v>
      </c>
      <c r="DZ5" s="360" t="str">
        <f>'Project Info'!$K$34</f>
        <v>approximately</v>
      </c>
      <c r="EA5" s="393">
        <f>IF('Project Info'!$K$33&gt;10, 'Project Info'!$K$33, VLOOKUP('Project Info'!$K$33, TBL_REF_01_Number[], 2, FALSE))</f>
        <v>20500</v>
      </c>
      <c r="EB5" s="392" t="str">
        <f>'Project Info'!$K$32</f>
        <v>properties</v>
      </c>
      <c r="EC5" s="392" t="str">
        <f t="shared" si="3"/>
        <v>Yes</v>
      </c>
      <c r="ED5" s="392">
        <f t="shared" si="4"/>
        <v>50</v>
      </c>
      <c r="EE5" s="392">
        <f t="shared" si="5"/>
        <v>50</v>
      </c>
      <c r="EF5" s="360" t="str">
        <f t="shared" si="6"/>
        <v>Not applicable</v>
      </c>
      <c r="EG5" s="396">
        <f t="shared" si="7"/>
        <v>5</v>
      </c>
      <c r="EH5" s="396" t="str">
        <f t="shared" si="8"/>
        <v>Yes</v>
      </c>
      <c r="EI5" s="396">
        <f t="shared" si="9"/>
        <v>0</v>
      </c>
      <c r="EJ5" s="396">
        <f t="shared" si="10"/>
        <v>0</v>
      </c>
      <c r="EK5" s="396">
        <f t="shared" si="11"/>
        <v>0</v>
      </c>
      <c r="EL5" s="396" t="str">
        <f t="shared" si="12"/>
        <v>No</v>
      </c>
      <c r="EM5" s="396" t="str">
        <f t="shared" si="13"/>
        <v>Consensus</v>
      </c>
      <c r="EN5" s="396" t="str">
        <f t="shared" si="14"/>
        <v>No</v>
      </c>
      <c r="EO5" s="392">
        <f t="shared" si="15"/>
        <v>0</v>
      </c>
      <c r="EP5" s="365">
        <f t="shared" si="16"/>
        <v>0</v>
      </c>
      <c r="EQ5" s="392" t="str">
        <f t="shared" si="17"/>
        <v>Yes</v>
      </c>
      <c r="ER5" s="392">
        <f t="shared" si="18"/>
        <v>50</v>
      </c>
      <c r="ES5" s="392" t="str">
        <f t="shared" si="19"/>
        <v>Consensus</v>
      </c>
      <c r="ET5" s="392" t="str">
        <f t="shared" si="20"/>
        <v>Yes</v>
      </c>
      <c r="EU5" s="392">
        <f t="shared" si="21"/>
        <v>0</v>
      </c>
      <c r="EV5" s="392">
        <f t="shared" si="22"/>
        <v>0</v>
      </c>
      <c r="EW5" s="392">
        <f t="shared" si="23"/>
        <v>0</v>
      </c>
      <c r="EX5" s="392">
        <f t="shared" si="24"/>
        <v>0</v>
      </c>
      <c r="EY5" s="392">
        <f t="shared" si="25"/>
        <v>0</v>
      </c>
      <c r="EZ5" s="396">
        <f t="shared" si="26"/>
        <v>0</v>
      </c>
      <c r="FA5" s="396" t="str">
        <f>IF('Project Info'!$K$86&gt;11, 'Project Info'!$K$86, VLOOKUP('Project Info'!$K$86, TBL_REF_01_Number[], 2, FALSE))</f>
        <v>zero</v>
      </c>
      <c r="FB5" s="396" t="str">
        <f>IF('Project Info'!$K$87&gt;11, 'Project Info'!$K$87, VLOOKUP('Project Info'!$K$87, TBL_REF_01_Number[], 2, FALSE))</f>
        <v>zero</v>
      </c>
      <c r="FC5" s="396" t="str">
        <f>IF('Project Info'!$K$89&gt;11, 'Project Info'!$K$89, VLOOKUP('Project Info'!$K$89, TBL_REF_01_Number[], 2, FALSE))</f>
        <v>zero</v>
      </c>
      <c r="FD5" s="396" t="str">
        <f>IF('Project Info'!$K$90&gt;11, 'Project Info'!$K$90, VLOOKUP('Project Info'!$K$90, TBL_REF_01_Number[], 2, FALSE))</f>
        <v>zero</v>
      </c>
      <c r="FE5" s="396" t="str">
        <f>IF('Project Info'!$K$92&gt;11, 'Project Info'!$K$92, VLOOKUP('Project Info'!$K$92, TBL_REF_01_Number[], 2, FALSE))</f>
        <v>zero</v>
      </c>
      <c r="FF5" s="396" t="str">
        <f>IF('Project Info'!$K$93&gt;11, 'Project Info'!$K$93, VLOOKUP('Project Info'!$K$93, TBL_REF_01_Number[], 2, FALSE))</f>
        <v>zero</v>
      </c>
      <c r="FG5" s="396" t="str">
        <f t="array" ref="FG5">IFERROR(INDEX(TBL_DATA_02_Q_Info[Select_Points], MATCH(1, (TBL_DATA_02_Q_Info[Lot]=IF(REF_Select_1_Qs="Yes", "All", "Lot_3"))*(TBL_DATA_02_Q_Info[Include?]="Yes"), 0)), "N/A")</f>
        <v>N/A</v>
      </c>
      <c r="FH5" s="392" t="s">
        <v>24</v>
      </c>
      <c r="FI5" s="392" t="s">
        <v>24</v>
      </c>
      <c r="FJ5" s="392" t="s">
        <v>24</v>
      </c>
      <c r="FK5" s="392" t="s">
        <v>24</v>
      </c>
      <c r="FL5" s="392" t="s">
        <v>24</v>
      </c>
      <c r="FM5" s="396" t="str">
        <f t="array" ref="FM5">IFERROR(INDEX(TBL_DATA_02_Q_Info[Tech_Points], MATCH(1, (TBL_DATA_02_Q_Info[Lot]=IF(REF_Tech_1_Qs="Yes", "All", "Lot_3"))*(TBL_DATA_02_Q_Info[Include?]="Yes"), 0)), "N/A")</f>
        <v>N/A</v>
      </c>
      <c r="FN5" s="392" t="s">
        <v>24</v>
      </c>
      <c r="FO5" s="396" t="s">
        <v>24</v>
      </c>
      <c r="FP5" s="396" t="s">
        <v>24</v>
      </c>
      <c r="FQ5" s="396" t="s">
        <v>24</v>
      </c>
      <c r="FR5" s="396" t="s">
        <v>24</v>
      </c>
      <c r="FS5" s="396" t="str">
        <f t="array" ref="FS5">IFERROR(INDEX(TBL_DATA_02_Q_Info[IntSV_Points], MATCH(1, (TBL_DATA_02_Q_Info[Lot]=IF(REF_IntSV_1_Qs="Yes", "All", "Lot_3"))*(TBL_DATA_02_Q_Info[Include?]="Yes"), 0)), "N/A")</f>
        <v>N/A</v>
      </c>
      <c r="FT5" s="392" t="s">
        <v>24</v>
      </c>
      <c r="FU5" s="396" t="s">
        <v>24</v>
      </c>
      <c r="FV5" s="396" t="s">
        <v>24</v>
      </c>
      <c r="FW5" s="396" t="s">
        <v>24</v>
      </c>
      <c r="FX5" s="396" t="s">
        <v>24</v>
      </c>
      <c r="FY5" s="396" t="str">
        <f t="array" ref="FY5">IFERROR(INDEX(TBL_DATA_02_Q_Info[Select_Min], MATCH(1, (TBL_DATA_02_Q_Info[Lot]=IF(REF_Select_1_Qs="Yes", "All", "Lot_3"))*(TBL_DATA_02_Q_Info[Include?]="Yes"), 0)), "N/A")</f>
        <v>N/A</v>
      </c>
      <c r="FZ5" s="392" t="s">
        <v>24</v>
      </c>
      <c r="GA5" s="396" t="s">
        <v>24</v>
      </c>
      <c r="GB5" s="396" t="s">
        <v>24</v>
      </c>
      <c r="GC5" s="396" t="s">
        <v>24</v>
      </c>
      <c r="GD5" s="396" t="s">
        <v>24</v>
      </c>
      <c r="GE5" s="396" t="str">
        <f>IF(TBL_DATA_00_Doc_Merge[[#This Row],[Limit_Wins]]="Yes", IF('Project Info'!$K$59&lt;=10, VLOOKUP('Project Info'!$K$59, TBL_REF_01_Number[], 2, FALSE), 'Project Info'!$K$59), "N/A")</f>
        <v>N/A</v>
      </c>
      <c r="GF5" s="360" t="s">
        <v>2227</v>
      </c>
      <c r="GG5" s="392" t="str">
        <f>'Project Info'!$K$43</f>
        <v>No</v>
      </c>
      <c r="GH5" s="392">
        <f>'Project Info'!$K$44</f>
        <v>0</v>
      </c>
      <c r="GI5" s="394">
        <f>'Project Info'!$K$62</f>
        <v>10000000</v>
      </c>
      <c r="GJ5" s="394">
        <f>'Project Info'!$K$63</f>
        <v>10000000</v>
      </c>
      <c r="GK5" s="394">
        <f>'Project Info'!$K$64</f>
        <v>2000000</v>
      </c>
      <c r="GL5" s="394">
        <f>'Project Info'!$K$65</f>
        <v>0</v>
      </c>
      <c r="GM5" s="397" t="str">
        <f t="array" ref="GM5">TEXT(INDEX(TBL_ADD_03_Dates[Date], MATCH(1, ("Select"=TBL_ADD_03_Dates[Stage])*("Clarification"=TBL_ADD_03_Dates[Activity]),0)), "d MMMM YYYY")</f>
        <v/>
      </c>
      <c r="GN5" s="397" t="str">
        <f t="array" ref="GN5">TEXT(INDEX(TBL_ADD_03_Dates[Date], MATCH(1, ("Select"=TBL_ADD_03_Dates[Stage])*("Return"=TBL_ADD_03_Dates[Activity]),0)), "d MMMM YYYY")</f>
        <v/>
      </c>
      <c r="GO5" s="397" t="str">
        <f t="array" ref="GO5">IF(INDEX(TBL_ADD_03_Dates[Date], MATCH(1, ("Select"=TBL_ADD_03_Dates[Stage])*("Time"=TBL_ADD_03_Dates[Activity]),0))=0.5,"12:00 noon",IF(INDEX(TBL_ADD_03_Dates[Date], MATCH(1, ("Select"=TBL_ADD_03_Dates[Stage])*("Time"=TBL_ADD_03_Dates[Activity]),0))&lt;0.5, CONCATENATE(HOUR(INDEX(TBL_ADD_03_Dates[Date], MATCH(1, ("Select"=TBL_ADD_03_Dates[Stage])*("Time"=TBL_ADD_03_Dates[Activity]),0))), ":00 am"),CONCATENATE((HOUR(INDEX(TBL_ADD_03_Dates[Date], MATCH(1, ("Select"=TBL_ADD_03_Dates[Stage])*("Time"=TBL_ADD_03_Dates[Activity]),0)))-12), ":00 pm")))</f>
        <v>0:00 am</v>
      </c>
      <c r="GP5" s="397" t="str">
        <f t="array" ref="GP5">TEXT(INDEX(TBL_ADD_03_Dates[Date], MATCH(1, ("Tender"=TBL_ADD_03_Dates[Stage])*("Issue"=TBL_ADD_03_Dates[Activity]),0)), "d MMMM YYYY")</f>
        <v>0 January 1900</v>
      </c>
      <c r="GQ5" s="397" t="str">
        <f t="array" ref="GQ5">TEXT(INDEX(TBL_ADD_03_Dates[Date], MATCH(1, ("Tender"=TBL_ADD_03_Dates[Stage])*("Clarification"=TBL_ADD_03_Dates[Activity]),0)), "d MMMM YYYY")</f>
        <v/>
      </c>
      <c r="GR5" s="397" t="str">
        <f t="array" ref="GR5">TEXT(INDEX(TBL_ADD_03_Dates[Date], MATCH(1, ("Tender"=TBL_ADD_03_Dates[Stage])*("Return"=TBL_ADD_03_Dates[Activity]),0)), "d MMMM YYYY")</f>
        <v/>
      </c>
      <c r="GS5" s="397" t="str">
        <f t="array" ref="GS5">IF(INDEX(TBL_ADD_03_Dates[Date], MATCH(1, ("Tender"=TBL_ADD_03_Dates[Stage])*("Time"=TBL_ADD_03_Dates[Activity]),0))=0.5,"12:00 noon",IF(INDEX(TBL_ADD_03_Dates[Date], MATCH(1, ("Tender"=TBL_ADD_03_Dates[Stage])*("Time"=TBL_ADD_03_Dates[Activity]),0))&lt;0.5, CONCATENATE(HOUR(INDEX(TBL_ADD_03_Dates[Date], MATCH(1, ("Tender"=TBL_ADD_03_Dates[Stage])*("Time"=TBL_ADD_03_Dates[Activity]),0))), ":00 am"),CONCATENATE((HOUR(INDEX(TBL_ADD_03_Dates[Date], MATCH(1, ("Tender"=TBL_ADD_03_Dates[Stage])*("Time"=TBL_ADD_03_Dates[Activity]),0)))-12), ":00 pm")))</f>
        <v>0:00 am</v>
      </c>
      <c r="GT5" s="397" t="str">
        <f t="array" ref="GT5">TEXT(INDEX(TBL_ADD_03_Dates[Date], MATCH(1, ("Tender"=TBL_ADD_03_Dates[Stage])*("IntSV_Advise"=TBL_ADD_03_Dates[Activity]),0)), "d MMMM YYYY")</f>
        <v>0 January 1900</v>
      </c>
      <c r="GU5" s="397">
        <f t="array" ref="GU5">INDEX(TBL_ADD_03_Dates[Date], MATCH(1, ("Tender"=TBL_ADD_03_Dates[Stage])*("IntSV_Start"=TBL_ADD_03_Dates[Activity]),0))</f>
        <v>0</v>
      </c>
      <c r="GV5" s="397">
        <f t="array" ref="GV5">INDEX(TBL_ADD_03_Dates[Date], MATCH(1, ("Tender"=TBL_ADD_03_Dates[Stage])*("IntSV_End"=TBL_ADD_03_Dates[Activity]),0))</f>
        <v>0</v>
      </c>
      <c r="GW5" s="391" t="str">
        <f>IF(TBL_DATA_00_Doc_Merge[[#This Row],[IntSV_Start]]=TBL_DATA_00_Doc_Merge[[#This Row],[IntSV_End]], CONCATENATE("on ", TEXT(TBL_DATA_00_Doc_Merge[[#This Row],[IntSV_Start]], "DDDD"), " ", DAY(TBL_DATA_00_Doc_Merge[[#This Row],[IntSV_Start]]),"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"")&lt;&gt;"", CONCATENATE("between ", TEXT(TBL_DATA_00_Doc_Merge[[#This Row],[IntSV_Start]], "DDDD"), " ", DAY(TBL_DATA_00_Doc_Merge[[#This Row],[IntSV_Start]]), " and ", TEXT(TBL_DATA_00_Doc_Merge[[#This Row],[IntSV_End]], "DDDD"), " ", DAY(TBL_DATA_00_Doc_Merge[[#This Row],[IntSV_End]]),"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IF(YEAR(TBL_DATA_00_Doc_Merge[[#This Row],[IntSV_Start]])=YEAR(TBL_DATA_00_Doc_Merge[[#This Row],[IntSV_End]]), CONCATENATE("between ", TEXT(TBL_DATA_00_Doc_Merge[[#This Row],[IntSV_Start]], "DDDD"), " ", DAY(TBL_DATA_00_Doc_Merge[[#This Row],[IntSV_Start]]), " ", TEXT(TBL_DATA_00_Doc_Merge[[#This Row],[IntSV_Start]], "MMMM"), " and ", TEXT(TBL_DATA_00_Doc_Merge[[#This Row],[IntSV_End]], "DDDD"), " ", DAY(TBL_DATA_00_Doc_Merge[[#This Row],[IntSV_End]])," ",  TEXT(TBL_DATA_00_Doc_Merge[[#This Row],[IntSV_End]], "MMMM")," ",YEAR(TBL_DATA_00_Doc_Merge[[#This Row],[IntSV_End]])), CONCATENATE("between ", TEXT(TBL_DATA_00_Doc_Merge[[#This Row],[IntSV_Start]], "DDDD"), " ", DAY(TBL_DATA_00_Doc_Merge[[#This Row],[IntSV_Start]]), " ", TEXT(TBL_DATA_00_Doc_Merge[[#This Row],[IntSV_Start]], "MMMM")," ", YEAR(TBL_DATA_00_Doc_Merge[[#This Row],[IntSV_Start]]), " and ", TEXT(TBL_DATA_00_Doc_Merge[[#This Row],[IntSV_End]], "DDDD"), " ", DAY(TBL_DATA_00_Doc_Merge[[#This Row],[IntSV_End]])," ",  TEXT(TBL_DATA_00_Doc_Merge[[#This Row],[IntSV_End]], "MMMM")," ",YEAR(TBL_DATA_00_Doc_Merge[[#This Row],[IntSV_End]])))))</f>
        <v>on Saturday 0 January 1900</v>
      </c>
      <c r="GX5" s="397">
        <f t="array" ref="GX5">INDEX(TBL_ADD_03_Dates[Date], MATCH(1, ("Neg"=TBL_ADD_03_Dates[Stage])*("Start"=TBL_ADD_03_Dates[Activity]),0))</f>
        <v>0</v>
      </c>
      <c r="GY5" s="397">
        <f t="array" ref="GY5">INDEX(TBL_ADD_03_Dates[Date], MATCH(1, ("Neg"=TBL_ADD_03_Dates[Stage])*("End"=TBL_ADD_03_Dates[Activity]),0))</f>
        <v>0</v>
      </c>
      <c r="GZ5" s="397" t="str">
        <f>IF(TBL_DATA_00_Doc_Merge[[#This Row],[Neg_Start]]=TBL_DATA_00_Doc_Merge[[#This Row],[Neg_End]], CONCATENATE("on ", TEXT(TBL_DATA_00_Doc_Merge[[#This Row],[Neg_Start]], "DDDD"), " ", DAY(TBL_DATA_00_Doc_Merge[[#This Row],[Neg_Start]]),"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IF(IF(AND(MONTH(TBL_DATA_00_Doc_Merge[[#This Row],[Neg_Start]])=MONTH(TBL_DATA_00_Doc_Merge[[#This Row],[Neg_End]]), YEAR(TBL_DATA_00_Doc_Merge[[#This Row],[Neg_Start]])=YEAR(TBL_DATA_00_Doc_Merge[[#This Row],[Neg_End]])), CONCATENATE(TEXT(TBL_DATA_00_Doc_Merge[[#This Row],[Neg_Start]], "MMMM"), " ", YEAR(TBL_DATA_00_Doc_Merge[[#This Row],[Neg_Start]])), "")&lt;&gt;"", CONCATENATE("between ", TEXT(TBL_DATA_00_Doc_Merge[[#This Row],[Neg_Start]], "DDDD"), " ", DAY(TBL_DATA_00_Doc_Merge[[#This Row],[Neg_Start]]), " and ", TEXT(TBL_DATA_00_Doc_Merge[[#This Row],[Neg_End]], "DDDD"), " ", DAY(TBL_DATA_00_Doc_Merge[[#This Row],[Neg_End]]),"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IF(YEAR(TBL_DATA_00_Doc_Merge[[#This Row],[Neg_Start]])=YEAR(TBL_DATA_00_Doc_Merge[[#This Row],[Neg_End]]), CONCATENATE("between ", TEXT(TBL_DATA_00_Doc_Merge[[#This Row],[Neg_Start]], "DDDD"), " ", DAY(TBL_DATA_00_Doc_Merge[[#This Row],[Neg_Start]]), " ", TEXT(TBL_DATA_00_Doc_Merge[[#This Row],[Neg_Start]], "MMMM"), " and ", TEXT(TBL_DATA_00_Doc_Merge[[#This Row],[Neg_End]], "DDDD"), " ", DAY(TBL_DATA_00_Doc_Merge[[#This Row],[Neg_End]])," ",  TEXT(TBL_DATA_00_Doc_Merge[[#This Row],[Neg_End]], "MMMM")," ",YEAR(TBL_DATA_00_Doc_Merge[[#This Row],[Neg_End]])), CONCATENATE("between ", TEXT(TBL_DATA_00_Doc_Merge[[#This Row],[Neg_Start]], "DDDD"), " ", DAY(TBL_DATA_00_Doc_Merge[[#This Row],[Neg_Start]]), " ", TEXT(TBL_DATA_00_Doc_Merge[[#This Row],[Neg_Start]], "MMMM")," ", YEAR(TBL_DATA_00_Doc_Merge[[#This Row],[Neg_Start]]), " and ", TEXT(TBL_DATA_00_Doc_Merge[[#This Row],[Neg_End]], "DDDD"), " ", DAY(TBL_DATA_00_Doc_Merge[[#This Row],[Neg_End]])," ",  TEXT(TBL_DATA_00_Doc_Merge[[#This Row],[Neg_End]], "MMMM")," ",YEAR(TBL_DATA_00_Doc_Merge[[#This Row],[Neg_End]])))))</f>
        <v>on Saturday 0 January 1900</v>
      </c>
      <c r="HA5" s="397"/>
      <c r="HB5" s="397" t="str">
        <f t="array" ref="HB5">TEXT(INDEX(TBL_ADD_03_Dates[Date], MATCH(1, ("Final"=TBL_ADD_03_Dates[Stage])*("Clarification"=TBL_ADD_03_Dates[Activity]),0)), "d MMMM YYYY")</f>
        <v/>
      </c>
      <c r="HC5" s="397" t="str">
        <f t="array" ref="HC5">TEXT(INDEX(TBL_ADD_03_Dates[Date], MATCH(1, ("Final"=TBL_ADD_03_Dates[Stage])*("Return"=TBL_ADD_03_Dates[Activity]),0)), "d MMMM YYYY")</f>
        <v/>
      </c>
      <c r="HD5" s="397" t="str">
        <f t="array" ref="HD5">IF(INDEX(TBL_ADD_03_Dates[Date], MATCH(1, ("Final"=TBL_ADD_03_Dates[Stage])*("Time"=TBL_ADD_03_Dates[Activity]),0))=0.5,"12:00 noon",IF(INDEX(TBL_ADD_03_Dates[Date], MATCH(1, ("Final"=TBL_ADD_03_Dates[Stage])*("Time"=TBL_ADD_03_Dates[Activity]),0))&lt;0.5, CONCATENATE(HOUR(INDEX(TBL_ADD_03_Dates[Date], MATCH(1, ("Final"=TBL_ADD_03_Dates[Stage])*("Time"=TBL_ADD_03_Dates[Activity]),0))), ":00 am"),CONCATENATE((HOUR(INDEX(TBL_ADD_03_Dates[Date], MATCH(1, ("Final"=TBL_ADD_03_Dates[Stage])*("Time"=TBL_ADD_03_Dates[Activity]),0)))-12), ":00 pm")))</f>
        <v>0:00 am</v>
      </c>
      <c r="HE5" s="397" t="str">
        <f t="array" ref="HE5">TEXT(INDEX(TBL_ADD_03_Dates[Date], MATCH(1, ("Final"=TBL_ADD_03_Dates[Stage])*("IntSV_Advise"=TBL_ADD_03_Dates[Activity]),0)), "d MMMM YYYY")</f>
        <v>0 January 1900</v>
      </c>
      <c r="HF5" s="397">
        <f t="array" ref="HF5">INDEX(TBL_ADD_03_Dates[Date], MATCH(1, ("Final"=TBL_ADD_03_Dates[Stage])*("IntSV_Start"=TBL_ADD_03_Dates[Activity]),0))</f>
        <v>0</v>
      </c>
      <c r="HG5" s="397">
        <f t="array" ref="HG5">INDEX(TBL_ADD_03_Dates[Date], MATCH(1, ("Final"=TBL_ADD_03_Dates[Stage])*("IntSV_End"=TBL_ADD_03_Dates[Activity]),0))</f>
        <v>0</v>
      </c>
      <c r="HH5" s="391" t="str">
        <f>IF(TBL_DATA_00_Doc_Merge[[#This Row],[Final_IntSV_Start]]=TBL_DATA_00_Doc_Merge[[#This Row],[Final_IntSV_End]], CONCATENATE("on ", TEXT(TBL_DATA_00_Doc_Merge[[#This Row],[Final_IntSV_Start]], "DDDD"), " ", DAY(TBL_DATA_00_Doc_Merge[[#This Row],[Final_IntSV_Start]]),"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"")&lt;&gt;"", CONCATENATE("between ", TEXT(TBL_DATA_00_Doc_Merge[[#This Row],[Final_IntSV_Start]], "DDDD"), " ", DAY(TBL_DATA_00_Doc_Merge[[#This Row],[Final_IntSV_Start]]), " and ", TEXT(TBL_DATA_00_Doc_Merge[[#This Row],[Final_IntSV_End]], "DDDD"), " ", DAY(TBL_DATA_00_Doc_Merge[[#This Row],[Final_IntSV_End]]),"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IF(YEAR(TBL_DATA_00_Doc_Merge[[#This Row],[Final_IntSV_Start]])=YEAR(TBL_DATA_00_Doc_Merge[[#This Row],[Final_IntSV_End]]), CONCATENATE("between ", TEXT(TBL_DATA_00_Doc_Merge[[#This Row],[Final_IntSV_Start]], "DDDD"), " ", DAY(TBL_DATA_00_Doc_Merge[[#This Row],[Final_IntSV_Start]]), " ", TEXT(TBL_DATA_00_Doc_Merge[[#This Row],[Final_IntSV_Start]], "MMMM"), " and ", TEXT(TBL_DATA_00_Doc_Merge[[#This Row],[Final_IntSV_End]], "DDDD"), " ", DAY(TBL_DATA_00_Doc_Merge[[#This Row],[Final_IntSV_End]])," ",  TEXT(TBL_DATA_00_Doc_Merge[[#This Row],[Final_IntSV_End]], "MMMM")," ",YEAR(TBL_DATA_00_Doc_Merge[[#This Row],[Final_IntSV_End]])), CONCATENATE("between ", TEXT(TBL_DATA_00_Doc_Merge[[#This Row],[Final_IntSV_Start]], "DDDD"), " ", DAY(TBL_DATA_00_Doc_Merge[[#This Row],[Final_IntSV_Start]]), " ", TEXT(TBL_DATA_00_Doc_Merge[[#This Row],[Final_IntSV_Start]], "MMMM")," ", YEAR(TBL_DATA_00_Doc_Merge[[#This Row],[Final_IntSV_Start]]), " and ", TEXT(TBL_DATA_00_Doc_Merge[[#This Row],[Final_IntSV_End]], "DDDD"), " ", DAY(TBL_DATA_00_Doc_Merge[[#This Row],[Final_IntSV_End]])," ",  TEXT(TBL_DATA_00_Doc_Merge[[#This Row],[Final_IntSV_End]], "MMMM")," ",YEAR(TBL_DATA_00_Doc_Merge[[#This Row],[Final_IntSV_End]])))))</f>
        <v>on Saturday 0 January 1900</v>
      </c>
      <c r="HI5" s="397">
        <f t="array" ref="HI5">INDEX(TBL_ADD_03_Dates[Date], MATCH(1, ("Award"=TBL_ADD_03_Dates[Stage])*("Award"=TBL_ADD_03_Dates[Activity]),0))</f>
        <v>0</v>
      </c>
      <c r="HJ5" s="396" t="str">
        <f>'Project Info'!$K$45</f>
        <v>Yes</v>
      </c>
      <c r="HK5" s="396" t="str">
        <f>IF(TBL_DATA_00_Doc_Merge[[#This Row],[Uplift]]="No","N/A", IF('Project Info'!$L$46&lt;&gt;"", 'Project Info'!$L$46, 'Project Info'!$K$46))</f>
        <v>CPI</v>
      </c>
      <c r="HL5" s="398">
        <f t="array" ref="HL5">IF(TBL_DATA_00_Doc_Merge[[#This Row],[Uplift]]="No", "N/A", INDEX(TBL_ADD_03_Dates[Date], MATCH(1, ("Uplift"=TBL_ADD_03_Dates[Stage])*("Uplift"=TBL_ADD_03_Dates[Activity]),0)))</f>
        <v>0</v>
      </c>
      <c r="HM5" s="396" t="e">
        <f>IF(TBL_DATA_00_Doc_Merge[[#This Row],[Uplift_date]]="N/A", CONCATENATE("the end of the ", TBL_DATA_00_Doc_Merge[[#This Row],[contract_or_fw]]), TEXT(TBL_DATA_00_Doc_Merge[[#This Row],[Uplift_date]]-1, "d MMMM yyyy"))</f>
        <v>#VALUE!</v>
      </c>
      <c r="HN5" s="396" t="e">
        <f>IF(#REF!="Section not applicable",  'Project Info'!$K$42,  "Yes")</f>
        <v>#REF!</v>
      </c>
      <c r="HO5" s="399" t="str">
        <f>IF(Response!$A$2&lt;&gt;"", Response!$A$2, "")</f>
        <v>Purdy Contracts Ltd</v>
      </c>
    </row>
    <row r="6" spans="1:228" ht="137.5" hidden="1">
      <c r="A6" s="396" t="s">
        <v>351</v>
      </c>
      <c r="B6" s="400" t="s">
        <v>343</v>
      </c>
      <c r="C6" s="390">
        <f>'Project Info'!$K$5</f>
        <v>0</v>
      </c>
      <c r="D6" s="360" t="str">
        <f>'Project Info'!$K$9</f>
        <v>Royal Borough of Greenwich</v>
      </c>
      <c r="E6" s="360" t="str">
        <f>'Project Info'!$K$10</f>
        <v>Royal Greenwich</v>
      </c>
      <c r="F6" s="360" t="str">
        <f>CONCATENATE('Project Info'!$K$7, " for ", TBL_DATA_00_Doc_Merge[[#This Row],[Lot_Ref]], " (", TBL_DATA_00_Doc_Merge[[#This Row],[Lot_1_Name]], ")")</f>
        <v>Major and Responsive Repairs and Void Refurbishment Contract for Lot 4 (N/A)</v>
      </c>
      <c r="G6" s="360" t="str">
        <f>'Project Info'!$K$8</f>
        <v>major and responsve repairs and void refurbishment works</v>
      </c>
      <c r="H6" s="360" t="str">
        <f>'Project Info'!$K$11</f>
        <v>The Woolwich Centre, 35 Wellington Street, Woolwich, SE18 6HQ.</v>
      </c>
      <c r="I6" s="360" t="str">
        <f>'Project Info'!$K$12</f>
        <v>Areas of Greenwich, Greenwich Peninsula, Charlton, Plumstead, Kidbrooke, Eltham, Woolwich, Thamesmead and Abbey Wood</v>
      </c>
      <c r="J6" s="360" t="str">
        <f>'Project Info'!$L$6</f>
        <v>JW</v>
      </c>
      <c r="K6" s="360" t="str">
        <f t="array" ref="K6">IF(INDEX(TBL_ADD_02_Project_Info[Response], MATCH(1, ("Author"=TBL_ADD_02_Project_Info[Ref])*("All"=TBL_ADD_02_Project_Info[Lot]), 0))&lt;&gt;"", INDEX(TBL_ADD_02_Project_Info[Response], MATCH(1, ("Author"=TBL_ADD_02_Project_Info[Ref])*("All"=TBL_ADD_02_Project_Info[Lot]), 0)), "Add on Eval Info")</f>
        <v>Julie Watts</v>
      </c>
      <c r="L6" s="360" t="str" cm="1">
        <f t="array" ref="L6">IF(INDEX(TBL_ADD_02_Project_Info[Response], MATCH(1, ("Office"=TBL_ADD_02_Project_Info[Ref])*("All"=TBL_ADD_02_Project_Info[Lot]), 0))&lt;&gt;"", INDEX(TBL_ADD_02_Project_Info[Response], MATCH(1, ("Office"=TBL_ADD_02_Project_Info[Ref])*("All"=TBL_ADD_02_Project_Info[Lot]), 0)), "Add on Eval Info")</f>
        <v>Orpington</v>
      </c>
      <c r="M6" s="360" t="str">
        <f>IF(TBL_DATA_00_Doc_Merge[[#This Row],[DOC_Office]]="Add on Eval Info", "Add on Eval Info", VLOOKUP(TBL_DATA_00_Doc_Merge[[#This Row],[DOC_Office]], TBL_REF_04_Offices[], 2, FALSE))</f>
        <v>Central Court, Knoll Rise, Orpington, BR6 0JA</v>
      </c>
      <c r="N6" s="360" t="str">
        <f>IF(TBL_DATA_00_Doc_Merge[[#This Row],[DOC_Office]]="Add on Eval Info", "Add on Eval Info", VLOOKUP(TBL_DATA_00_Doc_Merge[[#This Row],[DOC_Office]], TBL_REF_04_Offices[], 3, FALSE))</f>
        <v>01689 885 080</v>
      </c>
      <c r="O6" s="391" t="str">
        <f>IF(TBL_DATA_00_Doc_Merge[[#This Row],[Tender_Type]]="Final Tender", TEXT(Dates!$H$33, "d MMMM YYYY"), IF(OR( TBL_DATA_00_Doc_Merge[[#This Row],[Tender_Type]]="Initial Tender", TBL_DATA_00_Doc_Merge[[#This Row],[Tender_Type]]="Tender"), IF('Project Info'!$K$29="Draft", TEXT(Dates!$H$5, "d MMMM YYYY"), TEXT(Dates!$H$14, "d MMMM YYYY")), IF(TBL_DATA_00_Doc_Merge[[#This Row],[Procedure]]="Open Procedure", TEXT(Dates!$H$14, "d MMMM YYYY"), TEXT(Dates!$H$5, "d MMMM YYYY"))))</f>
        <v>0 January 1900</v>
      </c>
      <c r="P6" s="360" t="str">
        <f>'Project Info'!$K$14</f>
        <v>Open Procedure</v>
      </c>
      <c r="Q6" s="360" t="str">
        <f>IF(OR('Project Info'!$K$16="Greater than £4.5M", 'Project Info'!$K$16="Greater than £181K"), "Above", "Below")</f>
        <v>Below</v>
      </c>
      <c r="R6" s="360" t="str">
        <f>IF('Project Info'!$K$14="Open Procedure", "Open", IF('Project Info'!$K$28="SQ", "Selection", "Tender"))</f>
        <v>Open</v>
      </c>
      <c r="S6" s="360" t="str">
        <f>'Project Info'!$K$28</f>
        <v>Tender</v>
      </c>
      <c r="T6" s="360" t="str">
        <f>IF(TBL_DATA_00_Doc_Merge[[#This Row],[Doc_Type]]="Selection", $HQ$2, IF(TBL_DATA_00_Doc_Merge[[#This Row],[Doc_Type]]="Open", $HQ$2&amp;" and Tender", IF(TBL_DATA_00_Doc_Merge[[#This Row],[Tender_Type]]="Initial", $HQ$4&amp;"n Initial Tender", IF(TBL_DATA_00_Doc_Merge[[#This Row],[Tender_Type]]="Final", $HQ$4&amp;"Final Tender", $HQ$3))))</f>
        <v>Request to Participate and Tender</v>
      </c>
      <c r="U6" s="360" t="str">
        <f>IF(TBL_DATA_00_Doc_Merge[[#This Row],[Doc_Type]]="Selection", TBL_DATA_00_Doc_Merge[[#This Row],[PAS_or_SQ]], IF(TBL_DATA_00_Doc_Merge[[#This Row],[Doc_Type]]="Open", "Tender", IF(TBL_DATA_00_Doc_Merge[[#This Row],[Tender_Type]]="Initial", "ISIT", IF(TBL_DATA_00_Doc_Merge[[#This Row],[Tender_Type]]="Final", "ISFT", "ITT"))))</f>
        <v>Tender</v>
      </c>
      <c r="V6" s="360" t="str">
        <f>'Project Info'!$K$18</f>
        <v>PAS</v>
      </c>
      <c r="W6" s="360" t="str">
        <f>'Project Info'!$K$19</f>
        <v>No</v>
      </c>
      <c r="X6" s="360" t="str">
        <f>'Project Info'!$K$15</f>
        <v>works</v>
      </c>
      <c r="Y6" s="360" t="str">
        <f>'Project Info'!$K$37</f>
        <v>contracts</v>
      </c>
      <c r="Z6" s="360" t="str">
        <f t="shared" si="0"/>
        <v>No</v>
      </c>
      <c r="AA6" s="360">
        <f t="shared" si="1"/>
        <v>0</v>
      </c>
      <c r="AB6" s="360" t="str">
        <f>VLOOKUP(TBL_DATA_00_Doc_Merge[[#This Row],[No_of_Lots]], TBL_REF_01_Number[], 2, FALSE)&amp;IF(TBL_DATA_00_Doc_Merge[[#This Row],[No_of_Lots]]=1, " Lot", " Lots")</f>
        <v>zero Lots</v>
      </c>
      <c r="AC6" s="360" t="str">
        <f>IF('Project Info'!$K$38="Partnering", IF(OR('Project Info'!$K$39=$HS$2, 'Project Info'!$K$39=$HS$3), "TAC", "TPC"), 'Project Info'!$K$38)</f>
        <v>JCT</v>
      </c>
      <c r="AD6" s="360" t="str">
        <f>'Project Info'!$K$40</f>
        <v>Contractor</v>
      </c>
      <c r="AE6" s="395" t="str">
        <f t="shared" si="2"/>
        <v>No</v>
      </c>
      <c r="AF6" s="396" t="str">
        <f>IF('Project Info'!$K$17="Yes", "Yes", "No")</f>
        <v>Yes</v>
      </c>
      <c r="AG6" s="396" t="str">
        <f>IF('Project Info'!$K$30&lt;&gt;"", 'Project Info'!$K$30, "")</f>
        <v/>
      </c>
      <c r="AH6" s="396" t="str">
        <f>IF($HT$2='Project Info'!$K$20, 'Project Info'!$L$20, 'Project Info'!$K$20)</f>
        <v>Proactis</v>
      </c>
      <c r="AI6" s="396" t="str">
        <f>IF(TBL_DATA_00_Doc_Merge[[#This Row],[Doc_Type]]="Open", TEXT(Dates!$H$14, "d MMMM YYYY"), TEXT(Dates!$H$5, "d MMMM YYYY"))</f>
        <v>0 January 1900</v>
      </c>
      <c r="AJ6" s="396" t="str">
        <f t="array" ref="AJ6">IFERROR(INDEX(TBL_DATA_01_Lot_Info[Name], MATCH(1, (TBL_DATA_00_Doc_Merge[[#This Row],[Lot]]=TBL_DATA_01_Lot_Info[Lot])*("Yes"=TBL_DATA_01_Lot_Info[Include?]), 0)), "N/A")</f>
        <v>N/A</v>
      </c>
      <c r="AK6" s="396" t="str">
        <f t="array" ref="AK6">IFERROR(INDEX(TBL_DATA_01_Lot_Info[Description], MATCH(1, (TBL_DATA_00_Doc_Merge[[#This Row],[Lot]]=TBL_DATA_01_Lot_Info[Lot])*("Yes"=TBL_DATA_01_Lot_Info[Include?]), 0)), "N/A")</f>
        <v>N/A</v>
      </c>
      <c r="AL6" s="396" t="str">
        <f t="array" ref="AL6">IFERROR(INDEX(TBL_DATA_01_Lot_Info[Props_Approx], MATCH(1, (TBL_DATA_00_Doc_Merge[[#This Row],[Lot]]=TBL_DATA_01_Lot_Info[Lot])*("Yes"=TBL_DATA_01_Lot_Info[Include?]), 0)), "N/A")</f>
        <v>N/A</v>
      </c>
      <c r="AM6" s="396" t="str">
        <f t="array" ref="AM6">IFERROR(INDEX(TBL_DATA_01_Lot_Info[Props_No], MATCH(1, (TBL_DATA_00_Doc_Merge[[#This Row],[Lot]]=TBL_DATA_01_Lot_Info[Lot])*("Yes"=TBL_DATA_01_Lot_Info[Include?]), 0)), "N/A")</f>
        <v>N/A</v>
      </c>
      <c r="AN6" s="396" t="str">
        <f t="array" ref="AN6">IFERROR(INDEX(TBL_DATA_01_Lot_Info[Props_Type], MATCH(1, (TBL_DATA_00_Doc_Merge[[#This Row],[Lot]]=TBL_DATA_01_Lot_Info[Lot])*("Yes"=TBL_DATA_01_Lot_Info[Include?]), 0)), "N/A")</f>
        <v>N/A</v>
      </c>
      <c r="AO6" s="396" t="str">
        <f t="array" ref="AO6">IFERROR(INDEX(TBL_DATA_01_Lot_Info[Value_type], MATCH(1, (TBL_DATA_00_Doc_Merge[[#This Row],[Lot]]=TBL_DATA_01_Lot_Info[Lot])*("Yes"=TBL_DATA_01_Lot_Info[Include?]), 0)), "N/A")</f>
        <v>N/A</v>
      </c>
      <c r="AP6" s="396" t="str">
        <f t="array" ref="AP6">IFERROR(INDEX(TBL_DATA_01_Lot_Info[Value_Max], MATCH(1, (TBL_DATA_00_Doc_Merge[[#This Row],[Lot]]=TBL_DATA_01_Lot_Info[Lot])*("Yes"=TBL_DATA_01_Lot_Info[Include?]), 0)), "N/A")</f>
        <v>N/A</v>
      </c>
      <c r="AQ6" s="396" t="str">
        <f t="array" ref="AQ6">IFERROR(INDEX(TBL_DATA_01_Lot_Info[Value_Min], MATCH(1, (TBL_DATA_00_Doc_Merge[[#This Row],[Lot]]=TBL_DATA_01_Lot_Info[Lot])*("Yes"=TBL_DATA_01_Lot_Info[Include?]), 0)), "N/A")</f>
        <v>N/A</v>
      </c>
      <c r="AR6" s="396" t="str">
        <f t="array" ref="AR6">IFERROR(IF(INDEX(TBL_DATA_01_Lot_Info[ITT_Min], MATCH(1, (TBL_DATA_00_Doc_Merge[[#This Row],[Lot]]=TBL_DATA_01_Lot_Info[Lot])*("Yes"=TBL_DATA_01_Lot_Info[Include?]), 0))&lt;=10, VLOOKUP(INDEX(TBL_DATA_01_Lot_Info[ITT_Min], MATCH(1, (TBL_DATA_00_Doc_Merge[[#This Row],[Lot]]=TBL_DATA_01_Lot_Info[Lot])*("Yes"=TBL_DATA_01_Lot_Info[Include?]), 0)), TBL_REF_01_Number[], 2, FALSE), INDEX(TBL_DATA_01_Lot_Info[ITT_Min], MATCH(1, (TBL_DATA_00_Doc_Merge[[#This Row],[Lot]]=TBL_DATA_01_Lot_Info[Lot])*("Yes"=TBL_DATA_01_Lot_Info[Include?]), 0))), "N/A")</f>
        <v>N/A</v>
      </c>
      <c r="AS6" s="396" t="str">
        <f t="array" ref="AS6">IFERROR(IF(INDEX(TBL_DATA_01_Lot_Info[ITT_Max], MATCH(1, (TBL_DATA_00_Doc_Merge[[#This Row],[Lot]]=TBL_DATA_01_Lot_Info[Lot])*("Yes"=TBL_DATA_01_Lot_Info[Include?]), 0))&lt;=10, VLOOKUP(INDEX(TBL_DATA_01_Lot_Info[ITT_Max], MATCH(1, (TBL_DATA_00_Doc_Merge[[#This Row],[Lot]]=TBL_DATA_01_Lot_Info[Lot])*("Yes"=TBL_DATA_01_Lot_Info[Include?]), 0)), TBL_REF_01_Number[], 2, FALSE), INDEX(TBL_DATA_01_Lot_Info[ITT_Max], MATCH(1, (TBL_DATA_00_Doc_Merge[[#This Row],[Lot]]=TBL_DATA_01_Lot_Info[Lot])*("Yes"=TBL_DATA_01_Lot_Info[Include?]), 0))), "N/A")</f>
        <v>N/A</v>
      </c>
      <c r="AT6" s="396" t="str">
        <f t="array" ref="AT6">IFERROR(IF(INDEX(TBL_DATA_01_Lot_Info[Neg_Min], MATCH(1, (TBL_DATA_00_Doc_Merge[[#This Row],[Lot]]=TBL_DATA_01_Lot_Info[Lot])*("Yes"=TBL_DATA_01_Lot_Info[Include?]), 0))&lt;=10, VLOOKUP(INDEX(TBL_DATA_01_Lot_Info[Neg_Min], MATCH(1, (TBL_DATA_00_Doc_Merge[[#This Row],[Lot]]=TBL_DATA_01_Lot_Info[Lot])*("Yes"=TBL_DATA_01_Lot_Info[Include?]), 0)), TBL_REF_01_Number[], 2, FALSE), INDEX(TBL_DATA_01_Lot_Info[Neg_Min], MATCH(1, (TBL_DATA_00_Doc_Merge[[#This Row],[Lot]]=TBL_DATA_01_Lot_Info[Lot])*("Yes"=TBL_DATA_01_Lot_Info[Include?]), 0))), "N/A")</f>
        <v>N/A</v>
      </c>
      <c r="AU6" s="396" t="str">
        <f t="array" ref="AU6">IFERROR(IF(INDEX(TBL_DATA_01_Lot_Info[Neg_Max], MATCH(1, (TBL_DATA_00_Doc_Merge[[#This Row],[Lot]]=TBL_DATA_01_Lot_Info[Lot])*("Yes"=TBL_DATA_01_Lot_Info[Include?]), 0))&lt;=10, VLOOKUP(INDEX(TBL_DATA_01_Lot_Info[Neg_Max], MATCH(1, (TBL_DATA_00_Doc_Merge[[#This Row],[Lot]]=TBL_DATA_01_Lot_Info[Lot])*("Yes"=TBL_DATA_01_Lot_Info[Include?]), 0)), TBL_REF_01_Number[], 2, FALSE), INDEX(TBL_DATA_01_Lot_Info[Neg_Max], MATCH(1, (TBL_DATA_00_Doc_Merge[[#This Row],[Lot]]=TBL_DATA_01_Lot_Info[Lot])*("Yes"=TBL_DATA_01_Lot_Info[Include?]), 0))), "N/A")</f>
        <v>N/A</v>
      </c>
      <c r="AV6" s="396" t="str">
        <f t="array" ref="AV6">IFERROR(IF(INDEX(TBL_DATA_01_Lot_Info[ISFT_Min], MATCH(1, (TBL_DATA_00_Doc_Merge[[#This Row],[Lot]]=TBL_DATA_01_Lot_Info[Lot])*("Yes"=TBL_DATA_01_Lot_Info[Include?]), 0))&lt;=10, VLOOKUP(INDEX(TBL_DATA_01_Lot_Info[ISFT_Min], MATCH(1, (TBL_DATA_00_Doc_Merge[[#This Row],[Lot]]=TBL_DATA_01_Lot_Info[Lot])*("Yes"=TBL_DATA_01_Lot_Info[Include?]), 0)), TBL_REF_01_Number[], 2, FALSE), INDEX(TBL_DATA_01_Lot_Info[ISFT_Min], MATCH(1, (TBL_DATA_00_Doc_Merge[[#This Row],[Lot]]=TBL_DATA_01_Lot_Info[Lot])*("Yes"=TBL_DATA_01_Lot_Info[Include?]), 0))), "N/A")</f>
        <v>N/A</v>
      </c>
      <c r="AW6" s="396" t="str">
        <f t="array" ref="AW6">IFERROR(IF(INDEX(TBL_DATA_01_Lot_Info[ISFT_Max], MATCH(1, (TBL_DATA_00_Doc_Merge[[#This Row],[Lot]]=TBL_DATA_01_Lot_Info[Lot])*("Yes"=TBL_DATA_01_Lot_Info[Include?]), 0))&lt;=10, VLOOKUP(INDEX(TBL_DATA_01_Lot_Info[ISFT_Max], MATCH(1, (TBL_DATA_00_Doc_Merge[[#This Row],[Lot]]=TBL_DATA_01_Lot_Info[Lot])*("Yes"=TBL_DATA_01_Lot_Info[Include?]), 0)), TBL_REF_01_Number[], 2, FALSE), INDEX(TBL_DATA_01_Lot_Info[ISFT_Max], MATCH(1, (TBL_DATA_00_Doc_Merge[[#This Row],[Lot]]=TBL_DATA_01_Lot_Info[Lot])*("Yes"=TBL_DATA_01_Lot_Info[Include?]), 0))), "N/A")</f>
        <v>N/A</v>
      </c>
      <c r="AX6" s="396" t="str">
        <f t="array" ref="AX6">IFERROR(IF(INDEX(TBL_DATA_01_Lot_Info[Cons_Min], MATCH(1, (TBL_DATA_00_Doc_Merge[[#This Row],[Lot]]=TBL_DATA_01_Lot_Info[Lot])*("Yes"=TBL_DATA_01_Lot_Info[Include?]), 0))&lt;=10, VLOOKUP(INDEX(TBL_DATA_01_Lot_Info[Cons_Min], MATCH(1, (TBL_DATA_00_Doc_Merge[[#This Row],[Lot]]=TBL_DATA_01_Lot_Info[Lot])*("Yes"=TBL_DATA_01_Lot_Info[Include?]), 0)), TBL_REF_01_Number[], 2, FALSE), INDEX(TBL_DATA_01_Lot_Info[Cons_Min], MATCH(1, (TBL_DATA_00_Doc_Merge[[#This Row],[Lot]]=TBL_DATA_01_Lot_Info[Lot])*("Yes"=TBL_DATA_01_Lot_Info[Include?]), 0))), "N/A")</f>
        <v>N/A</v>
      </c>
      <c r="AY6" s="396" t="str">
        <f t="array" ref="AY6">IFERROR(IF(INDEX(TBL_DATA_01_Lot_Info[Cons_Max], MATCH(1, (TBL_DATA_00_Doc_Merge[[#This Row],[Lot]]=TBL_DATA_01_Lot_Info[Lot])*("Yes"=TBL_DATA_01_Lot_Info[Include?]), 0))&lt;=10, VLOOKUP(INDEX(TBL_DATA_01_Lot_Info[Cons_Max], MATCH(1, (TBL_DATA_00_Doc_Merge[[#This Row],[Lot]]=TBL_DATA_01_Lot_Info[Lot])*("Yes"=TBL_DATA_01_Lot_Info[Include?]), 0)), TBL_REF_01_Number[], 2, FALSE), INDEX(TBL_DATA_01_Lot_Info[Cons_Max], MATCH(1, (TBL_DATA_00_Doc_Merge[[#This Row],[Lot]]=TBL_DATA_01_Lot_Info[Lot])*("Yes"=TBL_DATA_01_Lot_Info[Include?]), 0))), "N/A")</f>
        <v>N/A</v>
      </c>
      <c r="AZ6" s="396" t="s">
        <v>24</v>
      </c>
      <c r="BA6" s="396" t="s">
        <v>24</v>
      </c>
      <c r="BB6" s="396" t="s">
        <v>24</v>
      </c>
      <c r="BC6" s="396" t="s">
        <v>24</v>
      </c>
      <c r="BD6" s="396" t="s">
        <v>24</v>
      </c>
      <c r="BE6" s="396" t="s">
        <v>24</v>
      </c>
      <c r="BF6" s="396" t="s">
        <v>24</v>
      </c>
      <c r="BG6" s="396" t="s">
        <v>24</v>
      </c>
      <c r="BH6" s="396" t="s">
        <v>24</v>
      </c>
      <c r="BI6" s="396" t="s">
        <v>24</v>
      </c>
      <c r="BJ6" s="396" t="s">
        <v>24</v>
      </c>
      <c r="BK6" s="396" t="s">
        <v>24</v>
      </c>
      <c r="BL6" s="396" t="s">
        <v>24</v>
      </c>
      <c r="BM6" s="396" t="s">
        <v>24</v>
      </c>
      <c r="BN6" s="396" t="s">
        <v>24</v>
      </c>
      <c r="BO6" s="396" t="s">
        <v>24</v>
      </c>
      <c r="BP6" s="396" t="s">
        <v>24</v>
      </c>
      <c r="BQ6" s="396" t="s">
        <v>24</v>
      </c>
      <c r="BR6" s="396" t="s">
        <v>24</v>
      </c>
      <c r="BS6" s="396" t="s">
        <v>24</v>
      </c>
      <c r="BT6" s="396" t="s">
        <v>24</v>
      </c>
      <c r="BU6" s="396" t="s">
        <v>24</v>
      </c>
      <c r="BV6" s="396" t="s">
        <v>24</v>
      </c>
      <c r="BW6" s="396" t="s">
        <v>24</v>
      </c>
      <c r="BX6" s="396" t="s">
        <v>24</v>
      </c>
      <c r="BY6" s="396" t="s">
        <v>24</v>
      </c>
      <c r="BZ6" s="396" t="s">
        <v>24</v>
      </c>
      <c r="CA6" s="396" t="s">
        <v>24</v>
      </c>
      <c r="CB6" s="396" t="s">
        <v>24</v>
      </c>
      <c r="CC6" s="396" t="s">
        <v>24</v>
      </c>
      <c r="CD6" s="396" t="s">
        <v>24</v>
      </c>
      <c r="CE6" s="396" t="s">
        <v>24</v>
      </c>
      <c r="CF6" s="396" t="s">
        <v>24</v>
      </c>
      <c r="CG6" s="396" t="s">
        <v>24</v>
      </c>
      <c r="CH6" s="396" t="s">
        <v>24</v>
      </c>
      <c r="CI6" s="396" t="s">
        <v>24</v>
      </c>
      <c r="CJ6" s="396" t="s">
        <v>24</v>
      </c>
      <c r="CK6" s="396" t="s">
        <v>24</v>
      </c>
      <c r="CL6" s="396" t="s">
        <v>24</v>
      </c>
      <c r="CM6" s="396" t="s">
        <v>24</v>
      </c>
      <c r="CN6" s="396" t="s">
        <v>24</v>
      </c>
      <c r="CO6" s="396" t="s">
        <v>24</v>
      </c>
      <c r="CP6" s="396" t="s">
        <v>24</v>
      </c>
      <c r="CQ6" s="396" t="s">
        <v>24</v>
      </c>
      <c r="CR6" s="396" t="s">
        <v>24</v>
      </c>
      <c r="CS6" s="396" t="s">
        <v>24</v>
      </c>
      <c r="CT6" s="396" t="s">
        <v>24</v>
      </c>
      <c r="CU6" s="396" t="s">
        <v>24</v>
      </c>
      <c r="CV6" s="396" t="s">
        <v>24</v>
      </c>
      <c r="CW6" s="396" t="s">
        <v>24</v>
      </c>
      <c r="CX6" s="396" t="s">
        <v>24</v>
      </c>
      <c r="CY6" s="396" t="s">
        <v>24</v>
      </c>
      <c r="CZ6" s="396" t="s">
        <v>24</v>
      </c>
      <c r="DA6" s="396" t="s">
        <v>24</v>
      </c>
      <c r="DB6" s="396" t="s">
        <v>24</v>
      </c>
      <c r="DC6" s="396" t="s">
        <v>24</v>
      </c>
      <c r="DD6" s="396" t="s">
        <v>24</v>
      </c>
      <c r="DE6" s="396" t="s">
        <v>24</v>
      </c>
      <c r="DF6" s="396" t="s">
        <v>24</v>
      </c>
      <c r="DG6" s="396" t="s">
        <v>24</v>
      </c>
      <c r="DH6" s="396" t="s">
        <v>24</v>
      </c>
      <c r="DI6" s="396" t="s">
        <v>24</v>
      </c>
      <c r="DJ6" s="396" t="s">
        <v>24</v>
      </c>
      <c r="DK6" s="396" t="s">
        <v>24</v>
      </c>
      <c r="DL6" s="396" t="str">
        <f>IF(TBL_DATA_00_Doc_Merge[[#This Row],[Doc_Type]]="Selection", "Candidate", IF(TBL_DATA_00_Doc_Merge[[#This Row],[Doc_Type]]="Open", "Supplier", "Tenderer"))</f>
        <v>Supplier</v>
      </c>
      <c r="DM6" s="396" t="str">
        <f>TEXT(Dates!$H$50, "MMMM, YYYY")</f>
        <v>January, 1900</v>
      </c>
      <c r="DN6" s="396" t="str">
        <f t="array" ref="DN6">IFERROR(INDEX(TBL_ADD_02_Project_Info[Response], MATCH(1, ("All"=TBL_ADD_02_Project_Info[Lot])*("Value_type"=TBL_ADD_02_Project_Info[Ref]), 0)), "N/A")</f>
        <v>Single figure</v>
      </c>
      <c r="DO6" s="396" t="str">
        <f t="array" ref="DO6">IFERROR(TEXT(INDEX(TBL_ADD_02_Project_Info[Response], MATCH(1, ("All"=TBL_ADD_02_Project_Info[Lot])*("Value_Max"=TBL_ADD_02_Project_Info[Ref]), 0)), "£ #,###.00"), "N/A")</f>
        <v>£ 56,000,000.00</v>
      </c>
      <c r="DP6" s="396" t="str">
        <f t="array" ref="DP6">IFERROR(TEXT(INDEX(TBL_ADD_02_Project_Info[Response], MATCH(1, ("All"=TBL_ADD_02_Project_Info[Lot])*("Value_Min"=TBL_ADD_02_Project_Info[Ref]), 0)), "£ #,###.00"), "N/A")</f>
        <v>£ .00</v>
      </c>
      <c r="DQ6" s="396" t="str">
        <f>IF('Project Info'!$K$56&gt;=11, 'Project Info'!$K$56, VLOOKUP('Project Info'!$K$56, TBL_REF_01_Number[], 2, FALSE))</f>
        <v>four</v>
      </c>
      <c r="DR6" s="360" t="str">
        <f>IF('Project Info'!$K$57&gt;=11, 'Project Info'!$K$57, VLOOKUP('Project Info'!$K$57, TBL_REF_01_Number[], 2, FALSE))</f>
        <v>four</v>
      </c>
      <c r="DS6" s="360" t="str">
        <f>IF('Project Info'!$K$38="Other (please provide info)", 'Project Info'!$L$38, 'Project Info'!$K$39)</f>
        <v>JCT Measured Term Contract (2016) published by The Joint Contracts Tribunal (JCT)</v>
      </c>
      <c r="DT6" s="360" t="str">
        <f>'Project Info'!$K$41</f>
        <v>Contract Administrator</v>
      </c>
      <c r="DU6" s="360" t="str">
        <f>'Project Info'!$L$41</f>
        <v>CA</v>
      </c>
      <c r="DV6" s="360" t="str">
        <f>SUBSTITUTE('Project Info'!$K$48, "s", "")</f>
        <v>year</v>
      </c>
      <c r="DW6" s="360" t="str">
        <f>IF('Project Info'!$K$49&gt;10, 'Project Info'!$K$49, VLOOKUP('Project Info'!$K$49, TBL_REF_01_Number[], 2, FALSE))&amp;" "&amp;IF('Project Info'!$K$49&gt;1, TBL_DATA_00_Doc_Merge[[#This Row],[Duration_type]]&amp;"s", TBL_DATA_00_Doc_Merge[[#This Row],[Duration_type]])</f>
        <v>four years</v>
      </c>
      <c r="DX6" s="360" t="str">
        <f>IF('Project Info'!$K$50&gt;10, 'Project Info'!$K$50, VLOOKUP('Project Info'!$K$50, TBL_REF_01_Number[], 2, FALSE))&amp;" "&amp;IF('Project Info'!$K$50&gt;1, TBL_DATA_00_Doc_Merge[[#This Row],[Duration_type]]&amp;"s", TBL_DATA_00_Doc_Merge[[#This Row],[Duration_type]])</f>
        <v>seven years</v>
      </c>
      <c r="DY6" s="360" t="str">
        <f>IF('Project Info'!$K$50='Project Info'!$K$49, "N/A", IF('Project Info'!$K$50-'Project Info'!$K$49&gt;10, 'Project Info'!$K$50-'Project Info'!$K$49&amp;" "&amp;TBL_DATA_00_Doc_Merge[[#This Row],[Duration_type]]&amp;"s", VLOOKUP('Project Info'!$K$50-'Project Info'!$K$49, TBL_REF_01_Number[], 2, FALSE))&amp;" "&amp;IF('Project Info'!$K$50-'Project Info'!$K$49&gt;1, TBL_DATA_00_Doc_Merge[[#This Row],[Duration_type]]&amp;"s", TBL_DATA_00_Doc_Merge[[#This Row],[Duration_type]]))</f>
        <v>three years</v>
      </c>
      <c r="DZ6" s="360" t="str">
        <f>'Project Info'!$K$34</f>
        <v>approximately</v>
      </c>
      <c r="EA6" s="393">
        <f>IF('Project Info'!$K$33&gt;10, 'Project Info'!$K$33, VLOOKUP('Project Info'!$K$33, TBL_REF_01_Number[], 2, FALSE))</f>
        <v>20500</v>
      </c>
      <c r="EB6" s="392" t="str">
        <f>'Project Info'!$K$32</f>
        <v>properties</v>
      </c>
      <c r="EC6" s="392" t="str">
        <f t="shared" si="3"/>
        <v>Yes</v>
      </c>
      <c r="ED6" s="392">
        <f t="shared" si="4"/>
        <v>50</v>
      </c>
      <c r="EE6" s="392">
        <f t="shared" si="5"/>
        <v>50</v>
      </c>
      <c r="EF6" s="360" t="str">
        <f t="shared" si="6"/>
        <v>Not applicable</v>
      </c>
      <c r="EG6" s="396">
        <f t="shared" si="7"/>
        <v>5</v>
      </c>
      <c r="EH6" s="396" t="str">
        <f t="shared" si="8"/>
        <v>Yes</v>
      </c>
      <c r="EI6" s="396">
        <f t="shared" si="9"/>
        <v>0</v>
      </c>
      <c r="EJ6" s="396">
        <f t="shared" si="10"/>
        <v>0</v>
      </c>
      <c r="EK6" s="396">
        <f t="shared" si="11"/>
        <v>0</v>
      </c>
      <c r="EL6" s="396" t="str">
        <f t="shared" si="12"/>
        <v>No</v>
      </c>
      <c r="EM6" s="396" t="str">
        <f t="shared" si="13"/>
        <v>Consensus</v>
      </c>
      <c r="EN6" s="396" t="str">
        <f t="shared" si="14"/>
        <v>No</v>
      </c>
      <c r="EO6" s="392">
        <f t="shared" si="15"/>
        <v>0</v>
      </c>
      <c r="EP6" s="365">
        <f t="shared" si="16"/>
        <v>0</v>
      </c>
      <c r="EQ6" s="392" t="str">
        <f t="shared" si="17"/>
        <v>Yes</v>
      </c>
      <c r="ER6" s="392">
        <f t="shared" si="18"/>
        <v>50</v>
      </c>
      <c r="ES6" s="392" t="str">
        <f t="shared" si="19"/>
        <v>Consensus</v>
      </c>
      <c r="ET6" s="392" t="str">
        <f t="shared" si="20"/>
        <v>Yes</v>
      </c>
      <c r="EU6" s="392">
        <f t="shared" si="21"/>
        <v>0</v>
      </c>
      <c r="EV6" s="392">
        <f t="shared" si="22"/>
        <v>0</v>
      </c>
      <c r="EW6" s="392">
        <f t="shared" si="23"/>
        <v>0</v>
      </c>
      <c r="EX6" s="392">
        <f t="shared" si="24"/>
        <v>0</v>
      </c>
      <c r="EY6" s="392">
        <f t="shared" si="25"/>
        <v>0</v>
      </c>
      <c r="EZ6" s="396">
        <f t="shared" si="26"/>
        <v>0</v>
      </c>
      <c r="FA6" s="396" t="str">
        <f>IF('Project Info'!$K$86&gt;11, 'Project Info'!$K$86, VLOOKUP('Project Info'!$K$86, TBL_REF_01_Number[], 2, FALSE))</f>
        <v>zero</v>
      </c>
      <c r="FB6" s="396" t="str">
        <f>IF('Project Info'!$K$87&gt;11, 'Project Info'!$K$87, VLOOKUP('Project Info'!$K$87, TBL_REF_01_Number[], 2, FALSE))</f>
        <v>zero</v>
      </c>
      <c r="FC6" s="396" t="str">
        <f>IF('Project Info'!$K$89&gt;11, 'Project Info'!$K$89, VLOOKUP('Project Info'!$K$89, TBL_REF_01_Number[], 2, FALSE))</f>
        <v>zero</v>
      </c>
      <c r="FD6" s="396" t="str">
        <f>IF('Project Info'!$K$90&gt;11, 'Project Info'!$K$90, VLOOKUP('Project Info'!$K$90, TBL_REF_01_Number[], 2, FALSE))</f>
        <v>zero</v>
      </c>
      <c r="FE6" s="396" t="str">
        <f>IF('Project Info'!$K$92&gt;11, 'Project Info'!$K$92, VLOOKUP('Project Info'!$K$92, TBL_REF_01_Number[], 2, FALSE))</f>
        <v>zero</v>
      </c>
      <c r="FF6" s="396" t="str">
        <f>IF('Project Info'!$K$93&gt;11, 'Project Info'!$K$93, VLOOKUP('Project Info'!$K$93, TBL_REF_01_Number[], 2, FALSE))</f>
        <v>zero</v>
      </c>
      <c r="FG6" s="396" t="str">
        <f t="array" ref="FG6">IFERROR(INDEX(TBL_DATA_02_Q_Info[Select_Points], MATCH(1, (TBL_DATA_02_Q_Info[Lot]=IF(REF_Select_1_Qs="Yes", "All", "Lot_4"))*(TBL_DATA_02_Q_Info[Include?]="Yes"), 0)), "N/A")</f>
        <v>N/A</v>
      </c>
      <c r="FH6" s="392" t="s">
        <v>24</v>
      </c>
      <c r="FI6" s="392" t="s">
        <v>24</v>
      </c>
      <c r="FJ6" s="392" t="s">
        <v>24</v>
      </c>
      <c r="FK6" s="392" t="s">
        <v>24</v>
      </c>
      <c r="FL6" s="392" t="s">
        <v>24</v>
      </c>
      <c r="FM6" s="396" t="str">
        <f t="array" ref="FM6">IFERROR(INDEX(TBL_DATA_02_Q_Info[Tech_Points], MATCH(1, (TBL_DATA_02_Q_Info[Lot]=IF(REF_Tech_1_Qs="Yes", "All", "Lot_4"))*(TBL_DATA_02_Q_Info[Include?]="Yes"), 0)), "N/A")</f>
        <v>N/A</v>
      </c>
      <c r="FN6" s="392" t="s">
        <v>24</v>
      </c>
      <c r="FO6" s="396" t="s">
        <v>24</v>
      </c>
      <c r="FP6" s="396" t="s">
        <v>24</v>
      </c>
      <c r="FQ6" s="396" t="s">
        <v>24</v>
      </c>
      <c r="FR6" s="396" t="s">
        <v>24</v>
      </c>
      <c r="FS6" s="396" t="str">
        <f t="array" ref="FS6">IFERROR(INDEX(TBL_DATA_02_Q_Info[IntSV_Points], MATCH(1, (TBL_DATA_02_Q_Info[Lot]=IF(REF_IntSV_1_Qs="Yes", "All", "Lot_4"))*(TBL_DATA_02_Q_Info[Include?]="Yes"), 0)), "N/A")</f>
        <v>N/A</v>
      </c>
      <c r="FT6" s="392" t="s">
        <v>24</v>
      </c>
      <c r="FU6" s="396" t="s">
        <v>24</v>
      </c>
      <c r="FV6" s="396" t="s">
        <v>24</v>
      </c>
      <c r="FW6" s="396" t="s">
        <v>24</v>
      </c>
      <c r="FX6" s="396" t="s">
        <v>24</v>
      </c>
      <c r="FY6" s="396" t="str">
        <f t="array" ref="FY6">IFERROR(INDEX(TBL_DATA_02_Q_Info[Select_Min], MATCH(1, (TBL_DATA_02_Q_Info[Lot]=IF(REF_Select_1_Qs="Yes", "All", "Lot_4"))*(TBL_DATA_02_Q_Info[Include?]="Yes"), 0)), "N/A")</f>
        <v>N/A</v>
      </c>
      <c r="FZ6" s="392" t="s">
        <v>24</v>
      </c>
      <c r="GA6" s="396" t="s">
        <v>24</v>
      </c>
      <c r="GB6" s="396" t="s">
        <v>24</v>
      </c>
      <c r="GC6" s="396" t="s">
        <v>24</v>
      </c>
      <c r="GD6" s="396" t="s">
        <v>24</v>
      </c>
      <c r="GE6" s="396" t="str">
        <f>IF(TBL_DATA_00_Doc_Merge[[#This Row],[Limit_Wins]]="Yes", IF('Project Info'!$K$59&lt;=10, VLOOKUP('Project Info'!$K$59, TBL_REF_01_Number[], 2, FALSE), 'Project Info'!$K$59), "N/A")</f>
        <v>N/A</v>
      </c>
      <c r="GF6" s="360" t="s">
        <v>2227</v>
      </c>
      <c r="GG6" s="392" t="str">
        <f>'Project Info'!$K$43</f>
        <v>No</v>
      </c>
      <c r="GH6" s="392">
        <f>'Project Info'!$K$44</f>
        <v>0</v>
      </c>
      <c r="GI6" s="394">
        <f>'Project Info'!$K$62</f>
        <v>10000000</v>
      </c>
      <c r="GJ6" s="394">
        <f>'Project Info'!$K$63</f>
        <v>10000000</v>
      </c>
      <c r="GK6" s="394">
        <f>'Project Info'!$K$64</f>
        <v>2000000</v>
      </c>
      <c r="GL6" s="394">
        <f>'Project Info'!$K$65</f>
        <v>0</v>
      </c>
      <c r="GM6" s="397" t="str">
        <f t="array" ref="GM6">TEXT(INDEX(TBL_ADD_03_Dates[Date], MATCH(1, ("Select"=TBL_ADD_03_Dates[Stage])*("Clarification"=TBL_ADD_03_Dates[Activity]),0)), "d MMMM YYYY")</f>
        <v/>
      </c>
      <c r="GN6" s="397" t="str">
        <f t="array" ref="GN6">TEXT(INDEX(TBL_ADD_03_Dates[Date], MATCH(1, ("Select"=TBL_ADD_03_Dates[Stage])*("Return"=TBL_ADD_03_Dates[Activity]),0)), "d MMMM YYYY")</f>
        <v/>
      </c>
      <c r="GO6" s="397" t="str">
        <f t="array" ref="GO6">IF(INDEX(TBL_ADD_03_Dates[Date], MATCH(1, ("Select"=TBL_ADD_03_Dates[Stage])*("Time"=TBL_ADD_03_Dates[Activity]),0))=0.5,"12:00 noon",IF(INDEX(TBL_ADD_03_Dates[Date], MATCH(1, ("Select"=TBL_ADD_03_Dates[Stage])*("Time"=TBL_ADD_03_Dates[Activity]),0))&lt;0.5, CONCATENATE(HOUR(INDEX(TBL_ADD_03_Dates[Date], MATCH(1, ("Select"=TBL_ADD_03_Dates[Stage])*("Time"=TBL_ADD_03_Dates[Activity]),0))), ":00 am"),CONCATENATE((HOUR(INDEX(TBL_ADD_03_Dates[Date], MATCH(1, ("Select"=TBL_ADD_03_Dates[Stage])*("Time"=TBL_ADD_03_Dates[Activity]),0)))-12), ":00 pm")))</f>
        <v>0:00 am</v>
      </c>
      <c r="GP6" s="397" t="str">
        <f t="array" ref="GP6">TEXT(INDEX(TBL_ADD_03_Dates[Date], MATCH(1, ("Tender"=TBL_ADD_03_Dates[Stage])*("Issue"=TBL_ADD_03_Dates[Activity]),0)), "d MMMM YYYY")</f>
        <v>0 January 1900</v>
      </c>
      <c r="GQ6" s="397" t="str">
        <f t="array" ref="GQ6">TEXT(INDEX(TBL_ADD_03_Dates[Date], MATCH(1, ("Tender"=TBL_ADD_03_Dates[Stage])*("Clarification"=TBL_ADD_03_Dates[Activity]),0)), "d MMMM YYYY")</f>
        <v/>
      </c>
      <c r="GR6" s="397" t="str">
        <f t="array" ref="GR6">TEXT(INDEX(TBL_ADD_03_Dates[Date], MATCH(1, ("Tender"=TBL_ADD_03_Dates[Stage])*("Return"=TBL_ADD_03_Dates[Activity]),0)), "d MMMM YYYY")</f>
        <v/>
      </c>
      <c r="GS6" s="397" t="str">
        <f t="array" ref="GS6">IF(INDEX(TBL_ADD_03_Dates[Date], MATCH(1, ("Tender"=TBL_ADD_03_Dates[Stage])*("Time"=TBL_ADD_03_Dates[Activity]),0))=0.5,"12:00 noon",IF(INDEX(TBL_ADD_03_Dates[Date], MATCH(1, ("Tender"=TBL_ADD_03_Dates[Stage])*("Time"=TBL_ADD_03_Dates[Activity]),0))&lt;0.5, CONCATENATE(HOUR(INDEX(TBL_ADD_03_Dates[Date], MATCH(1, ("Tender"=TBL_ADD_03_Dates[Stage])*("Time"=TBL_ADD_03_Dates[Activity]),0))), ":00 am"),CONCATENATE((HOUR(INDEX(TBL_ADD_03_Dates[Date], MATCH(1, ("Tender"=TBL_ADD_03_Dates[Stage])*("Time"=TBL_ADD_03_Dates[Activity]),0)))-12), ":00 pm")))</f>
        <v>0:00 am</v>
      </c>
      <c r="GT6" s="397" t="str">
        <f t="array" ref="GT6">TEXT(INDEX(TBL_ADD_03_Dates[Date], MATCH(1, ("Tender"=TBL_ADD_03_Dates[Stage])*("IntSV_Advise"=TBL_ADD_03_Dates[Activity]),0)), "d MMMM YYYY")</f>
        <v>0 January 1900</v>
      </c>
      <c r="GU6" s="397">
        <f t="array" ref="GU6">INDEX(TBL_ADD_03_Dates[Date], MATCH(1, ("Tender"=TBL_ADD_03_Dates[Stage])*("IntSV_Start"=TBL_ADD_03_Dates[Activity]),0))</f>
        <v>0</v>
      </c>
      <c r="GV6" s="397">
        <f t="array" ref="GV6">INDEX(TBL_ADD_03_Dates[Date], MATCH(1, ("Tender"=TBL_ADD_03_Dates[Stage])*("IntSV_End"=TBL_ADD_03_Dates[Activity]),0))</f>
        <v>0</v>
      </c>
      <c r="GW6" s="391" t="str">
        <f>IF(TBL_DATA_00_Doc_Merge[[#This Row],[IntSV_Start]]=TBL_DATA_00_Doc_Merge[[#This Row],[IntSV_End]], CONCATENATE("on ", TEXT(TBL_DATA_00_Doc_Merge[[#This Row],[IntSV_Start]], "DDDD"), " ", DAY(TBL_DATA_00_Doc_Merge[[#This Row],[IntSV_Start]]),"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"")&lt;&gt;"", CONCATENATE("between ", TEXT(TBL_DATA_00_Doc_Merge[[#This Row],[IntSV_Start]], "DDDD"), " ", DAY(TBL_DATA_00_Doc_Merge[[#This Row],[IntSV_Start]]), " and ", TEXT(TBL_DATA_00_Doc_Merge[[#This Row],[IntSV_End]], "DDDD"), " ", DAY(TBL_DATA_00_Doc_Merge[[#This Row],[IntSV_End]]),"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IF(YEAR(TBL_DATA_00_Doc_Merge[[#This Row],[IntSV_Start]])=YEAR(TBL_DATA_00_Doc_Merge[[#This Row],[IntSV_End]]), CONCATENATE("between ", TEXT(TBL_DATA_00_Doc_Merge[[#This Row],[IntSV_Start]], "DDDD"), " ", DAY(TBL_DATA_00_Doc_Merge[[#This Row],[IntSV_Start]]), " ", TEXT(TBL_DATA_00_Doc_Merge[[#This Row],[IntSV_Start]], "MMMM"), " and ", TEXT(TBL_DATA_00_Doc_Merge[[#This Row],[IntSV_End]], "DDDD"), " ", DAY(TBL_DATA_00_Doc_Merge[[#This Row],[IntSV_End]])," ",  TEXT(TBL_DATA_00_Doc_Merge[[#This Row],[IntSV_End]], "MMMM")," ",YEAR(TBL_DATA_00_Doc_Merge[[#This Row],[IntSV_End]])), CONCATENATE("between ", TEXT(TBL_DATA_00_Doc_Merge[[#This Row],[IntSV_Start]], "DDDD"), " ", DAY(TBL_DATA_00_Doc_Merge[[#This Row],[IntSV_Start]]), " ", TEXT(TBL_DATA_00_Doc_Merge[[#This Row],[IntSV_Start]], "MMMM")," ", YEAR(TBL_DATA_00_Doc_Merge[[#This Row],[IntSV_Start]]), " and ", TEXT(TBL_DATA_00_Doc_Merge[[#This Row],[IntSV_End]], "DDDD"), " ", DAY(TBL_DATA_00_Doc_Merge[[#This Row],[IntSV_End]])," ",  TEXT(TBL_DATA_00_Doc_Merge[[#This Row],[IntSV_End]], "MMMM")," ",YEAR(TBL_DATA_00_Doc_Merge[[#This Row],[IntSV_End]])))))</f>
        <v>on Saturday 0 January 1900</v>
      </c>
      <c r="GX6" s="397">
        <f t="array" ref="GX6">INDEX(TBL_ADD_03_Dates[Date], MATCH(1, ("Neg"=TBL_ADD_03_Dates[Stage])*("Start"=TBL_ADD_03_Dates[Activity]),0))</f>
        <v>0</v>
      </c>
      <c r="GY6" s="397">
        <f t="array" ref="GY6">INDEX(TBL_ADD_03_Dates[Date], MATCH(1, ("Neg"=TBL_ADD_03_Dates[Stage])*("End"=TBL_ADD_03_Dates[Activity]),0))</f>
        <v>0</v>
      </c>
      <c r="GZ6" s="397" t="str">
        <f>IF(TBL_DATA_00_Doc_Merge[[#This Row],[Neg_Start]]=TBL_DATA_00_Doc_Merge[[#This Row],[Neg_End]], CONCATENATE("on ", TEXT(TBL_DATA_00_Doc_Merge[[#This Row],[Neg_Start]], "DDDD"), " ", DAY(TBL_DATA_00_Doc_Merge[[#This Row],[Neg_Start]]),"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IF(IF(AND(MONTH(TBL_DATA_00_Doc_Merge[[#This Row],[Neg_Start]])=MONTH(TBL_DATA_00_Doc_Merge[[#This Row],[Neg_End]]), YEAR(TBL_DATA_00_Doc_Merge[[#This Row],[Neg_Start]])=YEAR(TBL_DATA_00_Doc_Merge[[#This Row],[Neg_End]])), CONCATENATE(TEXT(TBL_DATA_00_Doc_Merge[[#This Row],[Neg_Start]], "MMMM"), " ", YEAR(TBL_DATA_00_Doc_Merge[[#This Row],[Neg_Start]])), "")&lt;&gt;"", CONCATENATE("between ", TEXT(TBL_DATA_00_Doc_Merge[[#This Row],[Neg_Start]], "DDDD"), " ", DAY(TBL_DATA_00_Doc_Merge[[#This Row],[Neg_Start]]), " and ", TEXT(TBL_DATA_00_Doc_Merge[[#This Row],[Neg_End]], "DDDD"), " ", DAY(TBL_DATA_00_Doc_Merge[[#This Row],[Neg_End]]),"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IF(YEAR(TBL_DATA_00_Doc_Merge[[#This Row],[Neg_Start]])=YEAR(TBL_DATA_00_Doc_Merge[[#This Row],[Neg_End]]), CONCATENATE("between ", TEXT(TBL_DATA_00_Doc_Merge[[#This Row],[Neg_Start]], "DDDD"), " ", DAY(TBL_DATA_00_Doc_Merge[[#This Row],[Neg_Start]]), " ", TEXT(TBL_DATA_00_Doc_Merge[[#This Row],[Neg_Start]], "MMMM"), " and ", TEXT(TBL_DATA_00_Doc_Merge[[#This Row],[Neg_End]], "DDDD"), " ", DAY(TBL_DATA_00_Doc_Merge[[#This Row],[Neg_End]])," ",  TEXT(TBL_DATA_00_Doc_Merge[[#This Row],[Neg_End]], "MMMM")," ",YEAR(TBL_DATA_00_Doc_Merge[[#This Row],[Neg_End]])), CONCATENATE("between ", TEXT(TBL_DATA_00_Doc_Merge[[#This Row],[Neg_Start]], "DDDD"), " ", DAY(TBL_DATA_00_Doc_Merge[[#This Row],[Neg_Start]]), " ", TEXT(TBL_DATA_00_Doc_Merge[[#This Row],[Neg_Start]], "MMMM")," ", YEAR(TBL_DATA_00_Doc_Merge[[#This Row],[Neg_Start]]), " and ", TEXT(TBL_DATA_00_Doc_Merge[[#This Row],[Neg_End]], "DDDD"), " ", DAY(TBL_DATA_00_Doc_Merge[[#This Row],[Neg_End]])," ",  TEXT(TBL_DATA_00_Doc_Merge[[#This Row],[Neg_End]], "MMMM")," ",YEAR(TBL_DATA_00_Doc_Merge[[#This Row],[Neg_End]])))))</f>
        <v>on Saturday 0 January 1900</v>
      </c>
      <c r="HA6" s="397"/>
      <c r="HB6" s="397" t="str">
        <f t="array" ref="HB6">TEXT(INDEX(TBL_ADD_03_Dates[Date], MATCH(1, ("Final"=TBL_ADD_03_Dates[Stage])*("Clarification"=TBL_ADD_03_Dates[Activity]),0)), "d MMMM YYYY")</f>
        <v/>
      </c>
      <c r="HC6" s="397" t="str">
        <f t="array" ref="HC6">TEXT(INDEX(TBL_ADD_03_Dates[Date], MATCH(1, ("Final"=TBL_ADD_03_Dates[Stage])*("Return"=TBL_ADD_03_Dates[Activity]),0)), "d MMMM YYYY")</f>
        <v/>
      </c>
      <c r="HD6" s="397" t="str">
        <f t="array" ref="HD6">IF(INDEX(TBL_ADD_03_Dates[Date], MATCH(1, ("Final"=TBL_ADD_03_Dates[Stage])*("Time"=TBL_ADD_03_Dates[Activity]),0))=0.5,"12:00 noon",IF(INDEX(TBL_ADD_03_Dates[Date], MATCH(1, ("Final"=TBL_ADD_03_Dates[Stage])*("Time"=TBL_ADD_03_Dates[Activity]),0))&lt;0.5, CONCATENATE(HOUR(INDEX(TBL_ADD_03_Dates[Date], MATCH(1, ("Final"=TBL_ADD_03_Dates[Stage])*("Time"=TBL_ADD_03_Dates[Activity]),0))), ":00 am"),CONCATENATE((HOUR(INDEX(TBL_ADD_03_Dates[Date], MATCH(1, ("Final"=TBL_ADD_03_Dates[Stage])*("Time"=TBL_ADD_03_Dates[Activity]),0)))-12), ":00 pm")))</f>
        <v>0:00 am</v>
      </c>
      <c r="HE6" s="397" t="str">
        <f t="array" ref="HE6">TEXT(INDEX(TBL_ADD_03_Dates[Date], MATCH(1, ("Final"=TBL_ADD_03_Dates[Stage])*("IntSV_Advise"=TBL_ADD_03_Dates[Activity]),0)), "d MMMM YYYY")</f>
        <v>0 January 1900</v>
      </c>
      <c r="HF6" s="397">
        <f t="array" ref="HF6">INDEX(TBL_ADD_03_Dates[Date], MATCH(1, ("Final"=TBL_ADD_03_Dates[Stage])*("IntSV_Start"=TBL_ADD_03_Dates[Activity]),0))</f>
        <v>0</v>
      </c>
      <c r="HG6" s="397">
        <f t="array" ref="HG6">INDEX(TBL_ADD_03_Dates[Date], MATCH(1, ("Final"=TBL_ADD_03_Dates[Stage])*("IntSV_End"=TBL_ADD_03_Dates[Activity]),0))</f>
        <v>0</v>
      </c>
      <c r="HH6" s="391" t="str">
        <f>IF(TBL_DATA_00_Doc_Merge[[#This Row],[Final_IntSV_Start]]=TBL_DATA_00_Doc_Merge[[#This Row],[Final_IntSV_End]], CONCATENATE("on ", TEXT(TBL_DATA_00_Doc_Merge[[#This Row],[Final_IntSV_Start]], "DDDD"), " ", DAY(TBL_DATA_00_Doc_Merge[[#This Row],[Final_IntSV_Start]]),"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"")&lt;&gt;"", CONCATENATE("between ", TEXT(TBL_DATA_00_Doc_Merge[[#This Row],[Final_IntSV_Start]], "DDDD"), " ", DAY(TBL_DATA_00_Doc_Merge[[#This Row],[Final_IntSV_Start]]), " and ", TEXT(TBL_DATA_00_Doc_Merge[[#This Row],[Final_IntSV_End]], "DDDD"), " ", DAY(TBL_DATA_00_Doc_Merge[[#This Row],[Final_IntSV_End]]),"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IF(YEAR(TBL_DATA_00_Doc_Merge[[#This Row],[Final_IntSV_Start]])=YEAR(TBL_DATA_00_Doc_Merge[[#This Row],[Final_IntSV_End]]), CONCATENATE("between ", TEXT(TBL_DATA_00_Doc_Merge[[#This Row],[Final_IntSV_Start]], "DDDD"), " ", DAY(TBL_DATA_00_Doc_Merge[[#This Row],[Final_IntSV_Start]]), " ", TEXT(TBL_DATA_00_Doc_Merge[[#This Row],[Final_IntSV_Start]], "MMMM"), " and ", TEXT(TBL_DATA_00_Doc_Merge[[#This Row],[Final_IntSV_End]], "DDDD"), " ", DAY(TBL_DATA_00_Doc_Merge[[#This Row],[Final_IntSV_End]])," ",  TEXT(TBL_DATA_00_Doc_Merge[[#This Row],[Final_IntSV_End]], "MMMM")," ",YEAR(TBL_DATA_00_Doc_Merge[[#This Row],[Final_IntSV_End]])), CONCATENATE("between ", TEXT(TBL_DATA_00_Doc_Merge[[#This Row],[Final_IntSV_Start]], "DDDD"), " ", DAY(TBL_DATA_00_Doc_Merge[[#This Row],[Final_IntSV_Start]]), " ", TEXT(TBL_DATA_00_Doc_Merge[[#This Row],[Final_IntSV_Start]], "MMMM")," ", YEAR(TBL_DATA_00_Doc_Merge[[#This Row],[Final_IntSV_Start]]), " and ", TEXT(TBL_DATA_00_Doc_Merge[[#This Row],[Final_IntSV_End]], "DDDD"), " ", DAY(TBL_DATA_00_Doc_Merge[[#This Row],[Final_IntSV_End]])," ",  TEXT(TBL_DATA_00_Doc_Merge[[#This Row],[Final_IntSV_End]], "MMMM")," ",YEAR(TBL_DATA_00_Doc_Merge[[#This Row],[Final_IntSV_End]])))))</f>
        <v>on Saturday 0 January 1900</v>
      </c>
      <c r="HI6" s="397">
        <f t="array" ref="HI6">INDEX(TBL_ADD_03_Dates[Date], MATCH(1, ("Award"=TBL_ADD_03_Dates[Stage])*("Award"=TBL_ADD_03_Dates[Activity]),0))</f>
        <v>0</v>
      </c>
      <c r="HJ6" s="396" t="str">
        <f>'Project Info'!$K$45</f>
        <v>Yes</v>
      </c>
      <c r="HK6" s="396" t="str">
        <f>IF(TBL_DATA_00_Doc_Merge[[#This Row],[Uplift]]="No","N/A", IF('Project Info'!$L$46&lt;&gt;"", 'Project Info'!$L$46, 'Project Info'!$K$46))</f>
        <v>CPI</v>
      </c>
      <c r="HL6" s="398">
        <f t="array" ref="HL6">IF(TBL_DATA_00_Doc_Merge[[#This Row],[Uplift]]="No", "N/A", INDEX(TBL_ADD_03_Dates[Date], MATCH(1, ("Uplift"=TBL_ADD_03_Dates[Stage])*("Uplift"=TBL_ADD_03_Dates[Activity]),0)))</f>
        <v>0</v>
      </c>
      <c r="HM6" s="396" t="e">
        <f>IF(TBL_DATA_00_Doc_Merge[[#This Row],[Uplift_date]]="N/A", CONCATENATE("the end of the ", TBL_DATA_00_Doc_Merge[[#This Row],[contract_or_fw]]), TEXT(TBL_DATA_00_Doc_Merge[[#This Row],[Uplift_date]]-1, "d MMMM yyyy"))</f>
        <v>#VALUE!</v>
      </c>
      <c r="HN6" s="396" t="e">
        <f>IF(#REF!="Section not applicable",  'Project Info'!$K$42,  "Yes")</f>
        <v>#REF!</v>
      </c>
      <c r="HO6" s="399" t="str">
        <f>IF(Response!$A$2&lt;&gt;"", Response!$A$2, "")</f>
        <v>Purdy Contracts Ltd</v>
      </c>
    </row>
    <row r="7" spans="1:228" ht="137.5" hidden="1">
      <c r="A7" s="396" t="s">
        <v>350</v>
      </c>
      <c r="B7" s="400" t="s">
        <v>344</v>
      </c>
      <c r="C7" s="390">
        <f>'Project Info'!$K$5</f>
        <v>0</v>
      </c>
      <c r="D7" s="360" t="str">
        <f>'Project Info'!$K$9</f>
        <v>Royal Borough of Greenwich</v>
      </c>
      <c r="E7" s="360" t="str">
        <f>'Project Info'!$K$10</f>
        <v>Royal Greenwich</v>
      </c>
      <c r="F7" s="360" t="str">
        <f>CONCATENATE('Project Info'!$K$7, " for ", TBL_DATA_00_Doc_Merge[[#This Row],[Lot_Ref]], " (", TBL_DATA_00_Doc_Merge[[#This Row],[Lot_1_Name]], ")")</f>
        <v>Major and Responsive Repairs and Void Refurbishment Contract for Lot 5 (N/A)</v>
      </c>
      <c r="G7" s="360" t="str">
        <f>'Project Info'!$K$8</f>
        <v>major and responsve repairs and void refurbishment works</v>
      </c>
      <c r="H7" s="360" t="str">
        <f>'Project Info'!$K$11</f>
        <v>The Woolwich Centre, 35 Wellington Street, Woolwich, SE18 6HQ.</v>
      </c>
      <c r="I7" s="360" t="str">
        <f>'Project Info'!$K$12</f>
        <v>Areas of Greenwich, Greenwich Peninsula, Charlton, Plumstead, Kidbrooke, Eltham, Woolwich, Thamesmead and Abbey Wood</v>
      </c>
      <c r="J7" s="360" t="str">
        <f>'Project Info'!$L$6</f>
        <v>JW</v>
      </c>
      <c r="K7" s="360" t="str">
        <f t="array" ref="K7">IF(INDEX(TBL_ADD_02_Project_Info[Response], MATCH(1, ("Author"=TBL_ADD_02_Project_Info[Ref])*("All"=TBL_ADD_02_Project_Info[Lot]), 0))&lt;&gt;"", INDEX(TBL_ADD_02_Project_Info[Response], MATCH(1, ("Author"=TBL_ADD_02_Project_Info[Ref])*("All"=TBL_ADD_02_Project_Info[Lot]), 0)), "Add on Eval Info")</f>
        <v>Julie Watts</v>
      </c>
      <c r="L7" s="360" t="str" cm="1">
        <f t="array" ref="L7">IF(INDEX(TBL_ADD_02_Project_Info[Response], MATCH(1, ("Office"=TBL_ADD_02_Project_Info[Ref])*("All"=TBL_ADD_02_Project_Info[Lot]), 0))&lt;&gt;"", INDEX(TBL_ADD_02_Project_Info[Response], MATCH(1, ("Office"=TBL_ADD_02_Project_Info[Ref])*("All"=TBL_ADD_02_Project_Info[Lot]), 0)), "Add on Eval Info")</f>
        <v>Orpington</v>
      </c>
      <c r="M7" s="360" t="str">
        <f>IF(TBL_DATA_00_Doc_Merge[[#This Row],[DOC_Office]]="Add on Eval Info", "Add on Eval Info", VLOOKUP(TBL_DATA_00_Doc_Merge[[#This Row],[DOC_Office]], TBL_REF_04_Offices[], 2, FALSE))</f>
        <v>Central Court, Knoll Rise, Orpington, BR6 0JA</v>
      </c>
      <c r="N7" s="360" t="str">
        <f>IF(TBL_DATA_00_Doc_Merge[[#This Row],[DOC_Office]]="Add on Eval Info", "Add on Eval Info", VLOOKUP(TBL_DATA_00_Doc_Merge[[#This Row],[DOC_Office]], TBL_REF_04_Offices[], 3, FALSE))</f>
        <v>01689 885 080</v>
      </c>
      <c r="O7" s="391" t="str">
        <f>IF(TBL_DATA_00_Doc_Merge[[#This Row],[Tender_Type]]="Final Tender", TEXT(Dates!$H$33, "d MMMM YYYY"), IF(OR( TBL_DATA_00_Doc_Merge[[#This Row],[Tender_Type]]="Initial Tender", TBL_DATA_00_Doc_Merge[[#This Row],[Tender_Type]]="Tender"), IF('Project Info'!$K$29="Draft", TEXT(Dates!$H$5, "d MMMM YYYY"), TEXT(Dates!$H$14, "d MMMM YYYY")), IF(TBL_DATA_00_Doc_Merge[[#This Row],[Procedure]]="Open Procedure", TEXT(Dates!$H$14, "d MMMM YYYY"), TEXT(Dates!$H$5, "d MMMM YYYY"))))</f>
        <v>0 January 1900</v>
      </c>
      <c r="P7" s="360" t="str">
        <f>'Project Info'!$K$14</f>
        <v>Open Procedure</v>
      </c>
      <c r="Q7" s="360" t="str">
        <f>IF(OR('Project Info'!$K$16="Greater than £4.5M", 'Project Info'!$K$16="Greater than £181K"), "Above", "Below")</f>
        <v>Below</v>
      </c>
      <c r="R7" s="360" t="str">
        <f>IF('Project Info'!$K$14="Open Procedure", "Open", IF('Project Info'!$K$28="SQ", "Selection", "Tender"))</f>
        <v>Open</v>
      </c>
      <c r="S7" s="360" t="str">
        <f>'Project Info'!$K$28</f>
        <v>Tender</v>
      </c>
      <c r="T7" s="360" t="str">
        <f>IF(TBL_DATA_00_Doc_Merge[[#This Row],[Doc_Type]]="Selection", $HQ$2, IF(TBL_DATA_00_Doc_Merge[[#This Row],[Doc_Type]]="Open", $HQ$2&amp;" and Tender", IF(TBL_DATA_00_Doc_Merge[[#This Row],[Tender_Type]]="Initial", $HQ$4&amp;"n Initial Tender", IF(TBL_DATA_00_Doc_Merge[[#This Row],[Tender_Type]]="Final", $HQ$4&amp;"Final Tender", $HQ$3))))</f>
        <v>Request to Participate and Tender</v>
      </c>
      <c r="U7" s="360" t="str">
        <f>IF(TBL_DATA_00_Doc_Merge[[#This Row],[Doc_Type]]="Selection", TBL_DATA_00_Doc_Merge[[#This Row],[PAS_or_SQ]], IF(TBL_DATA_00_Doc_Merge[[#This Row],[Doc_Type]]="Open", "Tender", IF(TBL_DATA_00_Doc_Merge[[#This Row],[Tender_Type]]="Initial", "ISIT", IF(TBL_DATA_00_Doc_Merge[[#This Row],[Tender_Type]]="Final", "ISFT", "ITT"))))</f>
        <v>Tender</v>
      </c>
      <c r="V7" s="360" t="str">
        <f>'Project Info'!$K$18</f>
        <v>PAS</v>
      </c>
      <c r="W7" s="360" t="str">
        <f>'Project Info'!$K$19</f>
        <v>No</v>
      </c>
      <c r="X7" s="360" t="str">
        <f>'Project Info'!$K$15</f>
        <v>works</v>
      </c>
      <c r="Y7" s="360" t="str">
        <f>'Project Info'!$K$37</f>
        <v>contracts</v>
      </c>
      <c r="Z7" s="360" t="str">
        <f t="shared" si="0"/>
        <v>No</v>
      </c>
      <c r="AA7" s="360">
        <f t="shared" si="1"/>
        <v>0</v>
      </c>
      <c r="AB7" s="360" t="str">
        <f>VLOOKUP(TBL_DATA_00_Doc_Merge[[#This Row],[No_of_Lots]], TBL_REF_01_Number[], 2, FALSE)&amp;IF(TBL_DATA_00_Doc_Merge[[#This Row],[No_of_Lots]]=1, " Lot", " Lots")</f>
        <v>zero Lots</v>
      </c>
      <c r="AC7" s="360" t="str">
        <f>IF('Project Info'!$K$38="Partnering", IF(OR('Project Info'!$K$39=$HS$2, 'Project Info'!$K$39=$HS$3), "TAC", "TPC"), 'Project Info'!$K$38)</f>
        <v>JCT</v>
      </c>
      <c r="AD7" s="360" t="str">
        <f>'Project Info'!$K$40</f>
        <v>Contractor</v>
      </c>
      <c r="AE7" s="395" t="str">
        <f t="shared" si="2"/>
        <v>No</v>
      </c>
      <c r="AF7" s="396" t="str">
        <f>IF('Project Info'!$K$17="Yes", "Yes", "No")</f>
        <v>Yes</v>
      </c>
      <c r="AG7" s="396" t="str">
        <f>IF('Project Info'!$K$30&lt;&gt;"", 'Project Info'!$K$30, "")</f>
        <v/>
      </c>
      <c r="AH7" s="396" t="str">
        <f>IF($HT$2='Project Info'!$K$20, 'Project Info'!$L$20, 'Project Info'!$K$20)</f>
        <v>Proactis</v>
      </c>
      <c r="AI7" s="396" t="str">
        <f>IF(TBL_DATA_00_Doc_Merge[[#This Row],[Doc_Type]]="Open", TEXT(Dates!$H$14, "d MMMM YYYY"), TEXT(Dates!$H$5, "d MMMM YYYY"))</f>
        <v>0 January 1900</v>
      </c>
      <c r="AJ7" s="396" t="str">
        <f t="array" ref="AJ7">IFERROR(INDEX(TBL_DATA_01_Lot_Info[Name], MATCH(1, (TBL_DATA_00_Doc_Merge[[#This Row],[Lot]]=TBL_DATA_01_Lot_Info[Lot])*("Yes"=TBL_DATA_01_Lot_Info[Include?]), 0)), "N/A")</f>
        <v>N/A</v>
      </c>
      <c r="AK7" s="396" t="str">
        <f t="array" ref="AK7">IFERROR(INDEX(TBL_DATA_01_Lot_Info[Description], MATCH(1, (TBL_DATA_00_Doc_Merge[[#This Row],[Lot]]=TBL_DATA_01_Lot_Info[Lot])*("Yes"=TBL_DATA_01_Lot_Info[Include?]), 0)), "N/A")</f>
        <v>N/A</v>
      </c>
      <c r="AL7" s="396" t="str">
        <f t="array" ref="AL7">IFERROR(INDEX(TBL_DATA_01_Lot_Info[Props_Approx], MATCH(1, (TBL_DATA_00_Doc_Merge[[#This Row],[Lot]]=TBL_DATA_01_Lot_Info[Lot])*("Yes"=TBL_DATA_01_Lot_Info[Include?]), 0)), "N/A")</f>
        <v>N/A</v>
      </c>
      <c r="AM7" s="396" t="str">
        <f t="array" ref="AM7">IFERROR(INDEX(TBL_DATA_01_Lot_Info[Props_No], MATCH(1, (TBL_DATA_00_Doc_Merge[[#This Row],[Lot]]=TBL_DATA_01_Lot_Info[Lot])*("Yes"=TBL_DATA_01_Lot_Info[Include?]), 0)), "N/A")</f>
        <v>N/A</v>
      </c>
      <c r="AN7" s="396" t="str">
        <f t="array" ref="AN7">IFERROR(INDEX(TBL_DATA_01_Lot_Info[Props_Type], MATCH(1, (TBL_DATA_00_Doc_Merge[[#This Row],[Lot]]=TBL_DATA_01_Lot_Info[Lot])*("Yes"=TBL_DATA_01_Lot_Info[Include?]), 0)), "N/A")</f>
        <v>N/A</v>
      </c>
      <c r="AO7" s="396" t="str">
        <f t="array" ref="AO7">IFERROR(INDEX(TBL_DATA_01_Lot_Info[Value_type], MATCH(1, (TBL_DATA_00_Doc_Merge[[#This Row],[Lot]]=TBL_DATA_01_Lot_Info[Lot])*("Yes"=TBL_DATA_01_Lot_Info[Include?]), 0)), "N/A")</f>
        <v>N/A</v>
      </c>
      <c r="AP7" s="396" t="str">
        <f t="array" ref="AP7">IFERROR(INDEX(TBL_DATA_01_Lot_Info[Value_Max], MATCH(1, (TBL_DATA_00_Doc_Merge[[#This Row],[Lot]]=TBL_DATA_01_Lot_Info[Lot])*("Yes"=TBL_DATA_01_Lot_Info[Include?]), 0)), "N/A")</f>
        <v>N/A</v>
      </c>
      <c r="AQ7" s="396" t="str">
        <f t="array" ref="AQ7">IFERROR(INDEX(TBL_DATA_01_Lot_Info[Value_Min], MATCH(1, (TBL_DATA_00_Doc_Merge[[#This Row],[Lot]]=TBL_DATA_01_Lot_Info[Lot])*("Yes"=TBL_DATA_01_Lot_Info[Include?]), 0)), "N/A")</f>
        <v>N/A</v>
      </c>
      <c r="AR7" s="396" t="str">
        <f t="array" ref="AR7">IFERROR(IF(INDEX(TBL_DATA_01_Lot_Info[ITT_Min], MATCH(1, (TBL_DATA_00_Doc_Merge[[#This Row],[Lot]]=TBL_DATA_01_Lot_Info[Lot])*("Yes"=TBL_DATA_01_Lot_Info[Include?]), 0))&lt;=10, VLOOKUP(INDEX(TBL_DATA_01_Lot_Info[ITT_Min], MATCH(1, (TBL_DATA_00_Doc_Merge[[#This Row],[Lot]]=TBL_DATA_01_Lot_Info[Lot])*("Yes"=TBL_DATA_01_Lot_Info[Include?]), 0)), TBL_REF_01_Number[], 2, FALSE), INDEX(TBL_DATA_01_Lot_Info[ITT_Min], MATCH(1, (TBL_DATA_00_Doc_Merge[[#This Row],[Lot]]=TBL_DATA_01_Lot_Info[Lot])*("Yes"=TBL_DATA_01_Lot_Info[Include?]), 0))), "N/A")</f>
        <v>N/A</v>
      </c>
      <c r="AS7" s="396" t="str">
        <f t="array" ref="AS7">IFERROR(IF(INDEX(TBL_DATA_01_Lot_Info[ITT_Max], MATCH(1, (TBL_DATA_00_Doc_Merge[[#This Row],[Lot]]=TBL_DATA_01_Lot_Info[Lot])*("Yes"=TBL_DATA_01_Lot_Info[Include?]), 0))&lt;=10, VLOOKUP(INDEX(TBL_DATA_01_Lot_Info[ITT_Max], MATCH(1, (TBL_DATA_00_Doc_Merge[[#This Row],[Lot]]=TBL_DATA_01_Lot_Info[Lot])*("Yes"=TBL_DATA_01_Lot_Info[Include?]), 0)), TBL_REF_01_Number[], 2, FALSE), INDEX(TBL_DATA_01_Lot_Info[ITT_Max], MATCH(1, (TBL_DATA_00_Doc_Merge[[#This Row],[Lot]]=TBL_DATA_01_Lot_Info[Lot])*("Yes"=TBL_DATA_01_Lot_Info[Include?]), 0))), "N/A")</f>
        <v>N/A</v>
      </c>
      <c r="AT7" s="396" t="str">
        <f t="array" ref="AT7">IFERROR(IF(INDEX(TBL_DATA_01_Lot_Info[Neg_Min], MATCH(1, (TBL_DATA_00_Doc_Merge[[#This Row],[Lot]]=TBL_DATA_01_Lot_Info[Lot])*("Yes"=TBL_DATA_01_Lot_Info[Include?]), 0))&lt;=10, VLOOKUP(INDEX(TBL_DATA_01_Lot_Info[Neg_Min], MATCH(1, (TBL_DATA_00_Doc_Merge[[#This Row],[Lot]]=TBL_DATA_01_Lot_Info[Lot])*("Yes"=TBL_DATA_01_Lot_Info[Include?]), 0)), TBL_REF_01_Number[], 2, FALSE), INDEX(TBL_DATA_01_Lot_Info[Neg_Min], MATCH(1, (TBL_DATA_00_Doc_Merge[[#This Row],[Lot]]=TBL_DATA_01_Lot_Info[Lot])*("Yes"=TBL_DATA_01_Lot_Info[Include?]), 0))), "N/A")</f>
        <v>N/A</v>
      </c>
      <c r="AU7" s="396" t="str">
        <f t="array" ref="AU7">IFERROR(IF(INDEX(TBL_DATA_01_Lot_Info[Neg_Max], MATCH(1, (TBL_DATA_00_Doc_Merge[[#This Row],[Lot]]=TBL_DATA_01_Lot_Info[Lot])*("Yes"=TBL_DATA_01_Lot_Info[Include?]), 0))&lt;=10, VLOOKUP(INDEX(TBL_DATA_01_Lot_Info[Neg_Max], MATCH(1, (TBL_DATA_00_Doc_Merge[[#This Row],[Lot]]=TBL_DATA_01_Lot_Info[Lot])*("Yes"=TBL_DATA_01_Lot_Info[Include?]), 0)), TBL_REF_01_Number[], 2, FALSE), INDEX(TBL_DATA_01_Lot_Info[Neg_Max], MATCH(1, (TBL_DATA_00_Doc_Merge[[#This Row],[Lot]]=TBL_DATA_01_Lot_Info[Lot])*("Yes"=TBL_DATA_01_Lot_Info[Include?]), 0))), "N/A")</f>
        <v>N/A</v>
      </c>
      <c r="AV7" s="396" t="str">
        <f t="array" ref="AV7">IFERROR(IF(INDEX(TBL_DATA_01_Lot_Info[ISFT_Min], MATCH(1, (TBL_DATA_00_Doc_Merge[[#This Row],[Lot]]=TBL_DATA_01_Lot_Info[Lot])*("Yes"=TBL_DATA_01_Lot_Info[Include?]), 0))&lt;=10, VLOOKUP(INDEX(TBL_DATA_01_Lot_Info[ISFT_Min], MATCH(1, (TBL_DATA_00_Doc_Merge[[#This Row],[Lot]]=TBL_DATA_01_Lot_Info[Lot])*("Yes"=TBL_DATA_01_Lot_Info[Include?]), 0)), TBL_REF_01_Number[], 2, FALSE), INDEX(TBL_DATA_01_Lot_Info[ISFT_Min], MATCH(1, (TBL_DATA_00_Doc_Merge[[#This Row],[Lot]]=TBL_DATA_01_Lot_Info[Lot])*("Yes"=TBL_DATA_01_Lot_Info[Include?]), 0))), "N/A")</f>
        <v>N/A</v>
      </c>
      <c r="AW7" s="396" t="str">
        <f t="array" ref="AW7">IFERROR(IF(INDEX(TBL_DATA_01_Lot_Info[ISFT_Max], MATCH(1, (TBL_DATA_00_Doc_Merge[[#This Row],[Lot]]=TBL_DATA_01_Lot_Info[Lot])*("Yes"=TBL_DATA_01_Lot_Info[Include?]), 0))&lt;=10, VLOOKUP(INDEX(TBL_DATA_01_Lot_Info[ISFT_Max], MATCH(1, (TBL_DATA_00_Doc_Merge[[#This Row],[Lot]]=TBL_DATA_01_Lot_Info[Lot])*("Yes"=TBL_DATA_01_Lot_Info[Include?]), 0)), TBL_REF_01_Number[], 2, FALSE), INDEX(TBL_DATA_01_Lot_Info[ISFT_Max], MATCH(1, (TBL_DATA_00_Doc_Merge[[#This Row],[Lot]]=TBL_DATA_01_Lot_Info[Lot])*("Yes"=TBL_DATA_01_Lot_Info[Include?]), 0))), "N/A")</f>
        <v>N/A</v>
      </c>
      <c r="AX7" s="396" t="str">
        <f t="array" ref="AX7">IFERROR(IF(INDEX(TBL_DATA_01_Lot_Info[Cons_Min], MATCH(1, (TBL_DATA_00_Doc_Merge[[#This Row],[Lot]]=TBL_DATA_01_Lot_Info[Lot])*("Yes"=TBL_DATA_01_Lot_Info[Include?]), 0))&lt;=10, VLOOKUP(INDEX(TBL_DATA_01_Lot_Info[Cons_Min], MATCH(1, (TBL_DATA_00_Doc_Merge[[#This Row],[Lot]]=TBL_DATA_01_Lot_Info[Lot])*("Yes"=TBL_DATA_01_Lot_Info[Include?]), 0)), TBL_REF_01_Number[], 2, FALSE), INDEX(TBL_DATA_01_Lot_Info[Cons_Min], MATCH(1, (TBL_DATA_00_Doc_Merge[[#This Row],[Lot]]=TBL_DATA_01_Lot_Info[Lot])*("Yes"=TBL_DATA_01_Lot_Info[Include?]), 0))), "N/A")</f>
        <v>N/A</v>
      </c>
      <c r="AY7" s="396" t="str">
        <f t="array" ref="AY7">IFERROR(IF(INDEX(TBL_DATA_01_Lot_Info[Cons_Max], MATCH(1, (TBL_DATA_00_Doc_Merge[[#This Row],[Lot]]=TBL_DATA_01_Lot_Info[Lot])*("Yes"=TBL_DATA_01_Lot_Info[Include?]), 0))&lt;=10, VLOOKUP(INDEX(TBL_DATA_01_Lot_Info[Cons_Max], MATCH(1, (TBL_DATA_00_Doc_Merge[[#This Row],[Lot]]=TBL_DATA_01_Lot_Info[Lot])*("Yes"=TBL_DATA_01_Lot_Info[Include?]), 0)), TBL_REF_01_Number[], 2, FALSE), INDEX(TBL_DATA_01_Lot_Info[Cons_Max], MATCH(1, (TBL_DATA_00_Doc_Merge[[#This Row],[Lot]]=TBL_DATA_01_Lot_Info[Lot])*("Yes"=TBL_DATA_01_Lot_Info[Include?]), 0))), "N/A")</f>
        <v>N/A</v>
      </c>
      <c r="AZ7" s="396" t="s">
        <v>24</v>
      </c>
      <c r="BA7" s="396" t="s">
        <v>24</v>
      </c>
      <c r="BB7" s="396" t="s">
        <v>24</v>
      </c>
      <c r="BC7" s="396" t="s">
        <v>24</v>
      </c>
      <c r="BD7" s="396" t="s">
        <v>24</v>
      </c>
      <c r="BE7" s="396" t="s">
        <v>24</v>
      </c>
      <c r="BF7" s="396" t="s">
        <v>24</v>
      </c>
      <c r="BG7" s="396" t="s">
        <v>24</v>
      </c>
      <c r="BH7" s="396" t="s">
        <v>24</v>
      </c>
      <c r="BI7" s="396" t="s">
        <v>24</v>
      </c>
      <c r="BJ7" s="396" t="s">
        <v>24</v>
      </c>
      <c r="BK7" s="396" t="s">
        <v>24</v>
      </c>
      <c r="BL7" s="396" t="s">
        <v>24</v>
      </c>
      <c r="BM7" s="396" t="s">
        <v>24</v>
      </c>
      <c r="BN7" s="396" t="s">
        <v>24</v>
      </c>
      <c r="BO7" s="396" t="s">
        <v>24</v>
      </c>
      <c r="BP7" s="396" t="s">
        <v>24</v>
      </c>
      <c r="BQ7" s="396" t="s">
        <v>24</v>
      </c>
      <c r="BR7" s="396" t="s">
        <v>24</v>
      </c>
      <c r="BS7" s="396" t="s">
        <v>24</v>
      </c>
      <c r="BT7" s="396" t="s">
        <v>24</v>
      </c>
      <c r="BU7" s="396" t="s">
        <v>24</v>
      </c>
      <c r="BV7" s="396" t="s">
        <v>24</v>
      </c>
      <c r="BW7" s="396" t="s">
        <v>24</v>
      </c>
      <c r="BX7" s="396" t="s">
        <v>24</v>
      </c>
      <c r="BY7" s="396" t="s">
        <v>24</v>
      </c>
      <c r="BZ7" s="396" t="s">
        <v>24</v>
      </c>
      <c r="CA7" s="396" t="s">
        <v>24</v>
      </c>
      <c r="CB7" s="396" t="s">
        <v>24</v>
      </c>
      <c r="CC7" s="396" t="s">
        <v>24</v>
      </c>
      <c r="CD7" s="396" t="s">
        <v>24</v>
      </c>
      <c r="CE7" s="396" t="s">
        <v>24</v>
      </c>
      <c r="CF7" s="396" t="s">
        <v>24</v>
      </c>
      <c r="CG7" s="396" t="s">
        <v>24</v>
      </c>
      <c r="CH7" s="396" t="s">
        <v>24</v>
      </c>
      <c r="CI7" s="396" t="s">
        <v>24</v>
      </c>
      <c r="CJ7" s="396" t="s">
        <v>24</v>
      </c>
      <c r="CK7" s="396" t="s">
        <v>24</v>
      </c>
      <c r="CL7" s="396" t="s">
        <v>24</v>
      </c>
      <c r="CM7" s="396" t="s">
        <v>24</v>
      </c>
      <c r="CN7" s="396" t="s">
        <v>24</v>
      </c>
      <c r="CO7" s="396" t="s">
        <v>24</v>
      </c>
      <c r="CP7" s="396" t="s">
        <v>24</v>
      </c>
      <c r="CQ7" s="396" t="s">
        <v>24</v>
      </c>
      <c r="CR7" s="396" t="s">
        <v>24</v>
      </c>
      <c r="CS7" s="396" t="s">
        <v>24</v>
      </c>
      <c r="CT7" s="396" t="s">
        <v>24</v>
      </c>
      <c r="CU7" s="396" t="s">
        <v>24</v>
      </c>
      <c r="CV7" s="396" t="s">
        <v>24</v>
      </c>
      <c r="CW7" s="396" t="s">
        <v>24</v>
      </c>
      <c r="CX7" s="396" t="s">
        <v>24</v>
      </c>
      <c r="CY7" s="396" t="s">
        <v>24</v>
      </c>
      <c r="CZ7" s="396" t="s">
        <v>24</v>
      </c>
      <c r="DA7" s="396" t="s">
        <v>24</v>
      </c>
      <c r="DB7" s="396" t="s">
        <v>24</v>
      </c>
      <c r="DC7" s="396" t="s">
        <v>24</v>
      </c>
      <c r="DD7" s="396" t="s">
        <v>24</v>
      </c>
      <c r="DE7" s="396" t="s">
        <v>24</v>
      </c>
      <c r="DF7" s="396" t="s">
        <v>24</v>
      </c>
      <c r="DG7" s="396" t="s">
        <v>24</v>
      </c>
      <c r="DH7" s="396" t="s">
        <v>24</v>
      </c>
      <c r="DI7" s="396" t="s">
        <v>24</v>
      </c>
      <c r="DJ7" s="396" t="s">
        <v>24</v>
      </c>
      <c r="DK7" s="396" t="s">
        <v>24</v>
      </c>
      <c r="DL7" s="396" t="str">
        <f>IF(TBL_DATA_00_Doc_Merge[[#This Row],[Doc_Type]]="Selection", "Candidate", IF(TBL_DATA_00_Doc_Merge[[#This Row],[Doc_Type]]="Open", "Supplier", "Tenderer"))</f>
        <v>Supplier</v>
      </c>
      <c r="DM7" s="396" t="str">
        <f>TEXT(Dates!$H$50, "MMMM, YYYY")</f>
        <v>January, 1900</v>
      </c>
      <c r="DN7" s="396" t="str">
        <f t="array" ref="DN7">IFERROR(INDEX(TBL_ADD_02_Project_Info[Response], MATCH(1, ("All"=TBL_ADD_02_Project_Info[Lot])*("Value_type"=TBL_ADD_02_Project_Info[Ref]), 0)), "N/A")</f>
        <v>Single figure</v>
      </c>
      <c r="DO7" s="396" t="str">
        <f t="array" ref="DO7">IFERROR(TEXT(INDEX(TBL_ADD_02_Project_Info[Response], MATCH(1, ("All"=TBL_ADD_02_Project_Info[Lot])*("Value_Max"=TBL_ADD_02_Project_Info[Ref]), 0)), "£ #,###.00"), "N/A")</f>
        <v>£ 56,000,000.00</v>
      </c>
      <c r="DP7" s="396" t="str">
        <f t="array" ref="DP7">IFERROR(TEXT(INDEX(TBL_ADD_02_Project_Info[Response], MATCH(1, ("All"=TBL_ADD_02_Project_Info[Lot])*("Value_Min"=TBL_ADD_02_Project_Info[Ref]), 0)), "£ #,###.00"), "N/A")</f>
        <v>£ .00</v>
      </c>
      <c r="DQ7" s="396" t="str">
        <f>IF('Project Info'!$K$56&gt;=11, 'Project Info'!$K$56, VLOOKUP('Project Info'!$K$56, TBL_REF_01_Number[], 2, FALSE))</f>
        <v>four</v>
      </c>
      <c r="DR7" s="360" t="str">
        <f>IF('Project Info'!$K$57&gt;=11, 'Project Info'!$K$57, VLOOKUP('Project Info'!$K$57, TBL_REF_01_Number[], 2, FALSE))</f>
        <v>four</v>
      </c>
      <c r="DS7" s="360" t="str">
        <f>IF('Project Info'!$K$38="Other (please provide info)", 'Project Info'!$L$38, 'Project Info'!$K$39)</f>
        <v>JCT Measured Term Contract (2016) published by The Joint Contracts Tribunal (JCT)</v>
      </c>
      <c r="DT7" s="360" t="str">
        <f>'Project Info'!$K$41</f>
        <v>Contract Administrator</v>
      </c>
      <c r="DU7" s="360" t="str">
        <f>'Project Info'!$L$41</f>
        <v>CA</v>
      </c>
      <c r="DV7" s="360" t="str">
        <f>SUBSTITUTE('Project Info'!$K$48, "s", "")</f>
        <v>year</v>
      </c>
      <c r="DW7" s="360" t="str">
        <f>IF('Project Info'!$K$49&gt;10, 'Project Info'!$K$49, VLOOKUP('Project Info'!$K$49, TBL_REF_01_Number[], 2, FALSE))&amp;" "&amp;IF('Project Info'!$K$49&gt;1, TBL_DATA_00_Doc_Merge[[#This Row],[Duration_type]]&amp;"s", TBL_DATA_00_Doc_Merge[[#This Row],[Duration_type]])</f>
        <v>four years</v>
      </c>
      <c r="DX7" s="360" t="str">
        <f>IF('Project Info'!$K$50&gt;10, 'Project Info'!$K$50, VLOOKUP('Project Info'!$K$50, TBL_REF_01_Number[], 2, FALSE))&amp;" "&amp;IF('Project Info'!$K$50&gt;1, TBL_DATA_00_Doc_Merge[[#This Row],[Duration_type]]&amp;"s", TBL_DATA_00_Doc_Merge[[#This Row],[Duration_type]])</f>
        <v>seven years</v>
      </c>
      <c r="DY7" s="360" t="str">
        <f>IF('Project Info'!$K$50='Project Info'!$K$49, "N/A", IF('Project Info'!$K$50-'Project Info'!$K$49&gt;10, 'Project Info'!$K$50-'Project Info'!$K$49&amp;" "&amp;TBL_DATA_00_Doc_Merge[[#This Row],[Duration_type]]&amp;"s", VLOOKUP('Project Info'!$K$50-'Project Info'!$K$49, TBL_REF_01_Number[], 2, FALSE))&amp;" "&amp;IF('Project Info'!$K$50-'Project Info'!$K$49&gt;1, TBL_DATA_00_Doc_Merge[[#This Row],[Duration_type]]&amp;"s", TBL_DATA_00_Doc_Merge[[#This Row],[Duration_type]]))</f>
        <v>three years</v>
      </c>
      <c r="DZ7" s="360" t="str">
        <f>'Project Info'!$K$34</f>
        <v>approximately</v>
      </c>
      <c r="EA7" s="393">
        <f>IF('Project Info'!$K$33&gt;10, 'Project Info'!$K$33, VLOOKUP('Project Info'!$K$33, TBL_REF_01_Number[], 2, FALSE))</f>
        <v>20500</v>
      </c>
      <c r="EB7" s="392" t="str">
        <f>'Project Info'!$K$32</f>
        <v>properties</v>
      </c>
      <c r="EC7" s="392" t="str">
        <f t="shared" si="3"/>
        <v>Yes</v>
      </c>
      <c r="ED7" s="392">
        <f t="shared" si="4"/>
        <v>50</v>
      </c>
      <c r="EE7" s="392">
        <f t="shared" si="5"/>
        <v>50</v>
      </c>
      <c r="EF7" s="360" t="str">
        <f t="shared" si="6"/>
        <v>Not applicable</v>
      </c>
      <c r="EG7" s="396">
        <f t="shared" si="7"/>
        <v>5</v>
      </c>
      <c r="EH7" s="396" t="str">
        <f t="shared" si="8"/>
        <v>Yes</v>
      </c>
      <c r="EI7" s="396">
        <f t="shared" si="9"/>
        <v>0</v>
      </c>
      <c r="EJ7" s="396">
        <f t="shared" si="10"/>
        <v>0</v>
      </c>
      <c r="EK7" s="396">
        <f t="shared" si="11"/>
        <v>0</v>
      </c>
      <c r="EL7" s="396" t="str">
        <f t="shared" si="12"/>
        <v>No</v>
      </c>
      <c r="EM7" s="396" t="str">
        <f t="shared" si="13"/>
        <v>Consensus</v>
      </c>
      <c r="EN7" s="396" t="str">
        <f t="shared" si="14"/>
        <v>No</v>
      </c>
      <c r="EO7" s="392">
        <f t="shared" si="15"/>
        <v>0</v>
      </c>
      <c r="EP7" s="365">
        <f t="shared" si="16"/>
        <v>0</v>
      </c>
      <c r="EQ7" s="392" t="str">
        <f t="shared" si="17"/>
        <v>Yes</v>
      </c>
      <c r="ER7" s="392">
        <f t="shared" si="18"/>
        <v>50</v>
      </c>
      <c r="ES7" s="392" t="str">
        <f t="shared" si="19"/>
        <v>Consensus</v>
      </c>
      <c r="ET7" s="392" t="str">
        <f t="shared" si="20"/>
        <v>Yes</v>
      </c>
      <c r="EU7" s="392">
        <f t="shared" si="21"/>
        <v>0</v>
      </c>
      <c r="EV7" s="392">
        <f t="shared" si="22"/>
        <v>0</v>
      </c>
      <c r="EW7" s="392">
        <f t="shared" si="23"/>
        <v>0</v>
      </c>
      <c r="EX7" s="392">
        <f t="shared" si="24"/>
        <v>0</v>
      </c>
      <c r="EY7" s="392">
        <f t="shared" si="25"/>
        <v>0</v>
      </c>
      <c r="EZ7" s="396">
        <f t="shared" si="26"/>
        <v>0</v>
      </c>
      <c r="FA7" s="396" t="str">
        <f>IF('Project Info'!$K$86&gt;11, 'Project Info'!$K$86, VLOOKUP('Project Info'!$K$86, TBL_REF_01_Number[], 2, FALSE))</f>
        <v>zero</v>
      </c>
      <c r="FB7" s="396" t="str">
        <f>IF('Project Info'!$K$87&gt;11, 'Project Info'!$K$87, VLOOKUP('Project Info'!$K$87, TBL_REF_01_Number[], 2, FALSE))</f>
        <v>zero</v>
      </c>
      <c r="FC7" s="396" t="str">
        <f>IF('Project Info'!$K$89&gt;11, 'Project Info'!$K$89, VLOOKUP('Project Info'!$K$89, TBL_REF_01_Number[], 2, FALSE))</f>
        <v>zero</v>
      </c>
      <c r="FD7" s="396" t="str">
        <f>IF('Project Info'!$K$90&gt;11, 'Project Info'!$K$90, VLOOKUP('Project Info'!$K$90, TBL_REF_01_Number[], 2, FALSE))</f>
        <v>zero</v>
      </c>
      <c r="FE7" s="396" t="str">
        <f>IF('Project Info'!$K$92&gt;11, 'Project Info'!$K$92, VLOOKUP('Project Info'!$K$92, TBL_REF_01_Number[], 2, FALSE))</f>
        <v>zero</v>
      </c>
      <c r="FF7" s="396" t="str">
        <f>IF('Project Info'!$K$93&gt;11, 'Project Info'!$K$93, VLOOKUP('Project Info'!$K$93, TBL_REF_01_Number[], 2, FALSE))</f>
        <v>zero</v>
      </c>
      <c r="FG7" s="396" t="str">
        <f t="array" ref="FG7">IFERROR(INDEX(TBL_DATA_02_Q_Info[Select_Points], MATCH(1, (TBL_DATA_02_Q_Info[Lot]=IF(REF_Select_1_Qs="Yes", "All", "Lot_5"))*(TBL_DATA_02_Q_Info[Include?]="Yes"), 0)), "N/A")</f>
        <v>N/A</v>
      </c>
      <c r="FH7" s="392" t="s">
        <v>24</v>
      </c>
      <c r="FI7" s="392" t="s">
        <v>24</v>
      </c>
      <c r="FJ7" s="392" t="s">
        <v>24</v>
      </c>
      <c r="FK7" s="392" t="s">
        <v>24</v>
      </c>
      <c r="FL7" s="392" t="s">
        <v>24</v>
      </c>
      <c r="FM7" s="396" t="str">
        <f t="array" ref="FM7">IFERROR(INDEX(TBL_DATA_02_Q_Info[Tech_Points], MATCH(1, (TBL_DATA_02_Q_Info[Lot]=IF(REF_Tech_1_Qs="Yes", "All", "Lot_5"))*(TBL_DATA_02_Q_Info[Include?]="Yes"), 0)), "N/A")</f>
        <v>N/A</v>
      </c>
      <c r="FN7" s="392" t="s">
        <v>24</v>
      </c>
      <c r="FO7" s="396" t="s">
        <v>24</v>
      </c>
      <c r="FP7" s="396" t="s">
        <v>24</v>
      </c>
      <c r="FQ7" s="396" t="s">
        <v>24</v>
      </c>
      <c r="FR7" s="396" t="s">
        <v>24</v>
      </c>
      <c r="FS7" s="396" t="str">
        <f t="array" ref="FS7">IFERROR(INDEX(TBL_DATA_02_Q_Info[IntSV_Points], MATCH(1, (TBL_DATA_02_Q_Info[Lot]=IF(REF_IntSV_1_Qs="Yes", "All", "Lot_5"))*(TBL_DATA_02_Q_Info[Include?]="Yes"), 0)), "N/A")</f>
        <v>N/A</v>
      </c>
      <c r="FT7" s="392" t="s">
        <v>24</v>
      </c>
      <c r="FU7" s="396" t="s">
        <v>24</v>
      </c>
      <c r="FV7" s="396" t="s">
        <v>24</v>
      </c>
      <c r="FW7" s="396" t="s">
        <v>24</v>
      </c>
      <c r="FX7" s="396" t="s">
        <v>24</v>
      </c>
      <c r="FY7" s="396" t="str">
        <f t="array" ref="FY7">IFERROR(INDEX(TBL_DATA_02_Q_Info[Select_Min], MATCH(1, (TBL_DATA_02_Q_Info[Lot]=IF(REF_Select_1_Qs="Yes", "All", "Lot_5"))*(TBL_DATA_02_Q_Info[Include?]="Yes"), 0)), "N/A")</f>
        <v>N/A</v>
      </c>
      <c r="FZ7" s="392" t="s">
        <v>24</v>
      </c>
      <c r="GA7" s="396" t="s">
        <v>24</v>
      </c>
      <c r="GB7" s="396" t="s">
        <v>24</v>
      </c>
      <c r="GC7" s="396" t="s">
        <v>24</v>
      </c>
      <c r="GD7" s="396" t="s">
        <v>24</v>
      </c>
      <c r="GE7" s="396" t="str">
        <f>IF(TBL_DATA_00_Doc_Merge[[#This Row],[Limit_Wins]]="Yes", IF('Project Info'!$K$59&lt;=10, VLOOKUP('Project Info'!$K$59, TBL_REF_01_Number[], 2, FALSE), 'Project Info'!$K$59), "N/A")</f>
        <v>N/A</v>
      </c>
      <c r="GF7" s="360" t="s">
        <v>2227</v>
      </c>
      <c r="GG7" s="392" t="str">
        <f>'Project Info'!$K$43</f>
        <v>No</v>
      </c>
      <c r="GH7" s="392">
        <f>'Project Info'!$K$44</f>
        <v>0</v>
      </c>
      <c r="GI7" s="394">
        <f>'Project Info'!$K$62</f>
        <v>10000000</v>
      </c>
      <c r="GJ7" s="394">
        <f>'Project Info'!$K$63</f>
        <v>10000000</v>
      </c>
      <c r="GK7" s="394">
        <f>'Project Info'!$K$64</f>
        <v>2000000</v>
      </c>
      <c r="GL7" s="394">
        <f>'Project Info'!$K$65</f>
        <v>0</v>
      </c>
      <c r="GM7" s="397" t="str">
        <f t="array" ref="GM7">TEXT(INDEX(TBL_ADD_03_Dates[Date], MATCH(1, ("Select"=TBL_ADD_03_Dates[Stage])*("Clarification"=TBL_ADD_03_Dates[Activity]),0)), "d MMMM YYYY")</f>
        <v/>
      </c>
      <c r="GN7" s="397" t="str">
        <f t="array" ref="GN7">TEXT(INDEX(TBL_ADD_03_Dates[Date], MATCH(1, ("Select"=TBL_ADD_03_Dates[Stage])*("Return"=TBL_ADD_03_Dates[Activity]),0)), "d MMMM YYYY")</f>
        <v/>
      </c>
      <c r="GO7" s="397" t="str">
        <f t="array" ref="GO7">IF(INDEX(TBL_ADD_03_Dates[Date], MATCH(1, ("Select"=TBL_ADD_03_Dates[Stage])*("Time"=TBL_ADD_03_Dates[Activity]),0))=0.5,"12:00 noon",IF(INDEX(TBL_ADD_03_Dates[Date], MATCH(1, ("Select"=TBL_ADD_03_Dates[Stage])*("Time"=TBL_ADD_03_Dates[Activity]),0))&lt;0.5, CONCATENATE(HOUR(INDEX(TBL_ADD_03_Dates[Date], MATCH(1, ("Select"=TBL_ADD_03_Dates[Stage])*("Time"=TBL_ADD_03_Dates[Activity]),0))), ":00 am"),CONCATENATE((HOUR(INDEX(TBL_ADD_03_Dates[Date], MATCH(1, ("Select"=TBL_ADD_03_Dates[Stage])*("Time"=TBL_ADD_03_Dates[Activity]),0)))-12), ":00 pm")))</f>
        <v>0:00 am</v>
      </c>
      <c r="GP7" s="397" t="str">
        <f t="array" ref="GP7">TEXT(INDEX(TBL_ADD_03_Dates[Date], MATCH(1, ("Tender"=TBL_ADD_03_Dates[Stage])*("Issue"=TBL_ADD_03_Dates[Activity]),0)), "d MMMM YYYY")</f>
        <v>0 January 1900</v>
      </c>
      <c r="GQ7" s="397" t="str">
        <f t="array" ref="GQ7">TEXT(INDEX(TBL_ADD_03_Dates[Date], MATCH(1, ("Tender"=TBL_ADD_03_Dates[Stage])*("Clarification"=TBL_ADD_03_Dates[Activity]),0)), "d MMMM YYYY")</f>
        <v/>
      </c>
      <c r="GR7" s="397" t="str">
        <f t="array" ref="GR7">TEXT(INDEX(TBL_ADD_03_Dates[Date], MATCH(1, ("Tender"=TBL_ADD_03_Dates[Stage])*("Return"=TBL_ADD_03_Dates[Activity]),0)), "d MMMM YYYY")</f>
        <v/>
      </c>
      <c r="GS7" s="397" t="str">
        <f t="array" ref="GS7">IF(INDEX(TBL_ADD_03_Dates[Date], MATCH(1, ("Tender"=TBL_ADD_03_Dates[Stage])*("Time"=TBL_ADD_03_Dates[Activity]),0))=0.5,"12:00 noon",IF(INDEX(TBL_ADD_03_Dates[Date], MATCH(1, ("Tender"=TBL_ADD_03_Dates[Stage])*("Time"=TBL_ADD_03_Dates[Activity]),0))&lt;0.5, CONCATENATE(HOUR(INDEX(TBL_ADD_03_Dates[Date], MATCH(1, ("Tender"=TBL_ADD_03_Dates[Stage])*("Time"=TBL_ADD_03_Dates[Activity]),0))), ":00 am"),CONCATENATE((HOUR(INDEX(TBL_ADD_03_Dates[Date], MATCH(1, ("Tender"=TBL_ADD_03_Dates[Stage])*("Time"=TBL_ADD_03_Dates[Activity]),0)))-12), ":00 pm")))</f>
        <v>0:00 am</v>
      </c>
      <c r="GT7" s="397" t="str">
        <f t="array" ref="GT7">TEXT(INDEX(TBL_ADD_03_Dates[Date], MATCH(1, ("Tender"=TBL_ADD_03_Dates[Stage])*("IntSV_Advise"=TBL_ADD_03_Dates[Activity]),0)), "d MMMM YYYY")</f>
        <v>0 January 1900</v>
      </c>
      <c r="GU7" s="397">
        <f t="array" ref="GU7">INDEX(TBL_ADD_03_Dates[Date], MATCH(1, ("Tender"=TBL_ADD_03_Dates[Stage])*("IntSV_Start"=TBL_ADD_03_Dates[Activity]),0))</f>
        <v>0</v>
      </c>
      <c r="GV7" s="397">
        <f t="array" ref="GV7">INDEX(TBL_ADD_03_Dates[Date], MATCH(1, ("Tender"=TBL_ADD_03_Dates[Stage])*("IntSV_End"=TBL_ADD_03_Dates[Activity]),0))</f>
        <v>0</v>
      </c>
      <c r="GW7" s="391" t="str">
        <f>IF(TBL_DATA_00_Doc_Merge[[#This Row],[IntSV_Start]]=TBL_DATA_00_Doc_Merge[[#This Row],[IntSV_End]], CONCATENATE("on ", TEXT(TBL_DATA_00_Doc_Merge[[#This Row],[IntSV_Start]], "DDDD"), " ", DAY(TBL_DATA_00_Doc_Merge[[#This Row],[IntSV_Start]]),"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"")&lt;&gt;"", CONCATENATE("between ", TEXT(TBL_DATA_00_Doc_Merge[[#This Row],[IntSV_Start]], "DDDD"), " ", DAY(TBL_DATA_00_Doc_Merge[[#This Row],[IntSV_Start]]), " and ", TEXT(TBL_DATA_00_Doc_Merge[[#This Row],[IntSV_End]], "DDDD"), " ", DAY(TBL_DATA_00_Doc_Merge[[#This Row],[IntSV_End]])," ", IF(AND(MONTH(TBL_DATA_00_Doc_Merge[[#This Row],[IntSV_Start]])=MONTH(TBL_DATA_00_Doc_Merge[[#This Row],[IntSV_End]]), YEAR(TBL_DATA_00_Doc_Merge[[#This Row],[IntSV_Start]])=YEAR(TBL_DATA_00_Doc_Merge[[#This Row],[IntSV_End]])), CONCATENATE(TEXT(TBL_DATA_00_Doc_Merge[[#This Row],[IntSV_Start]], "MMMM"), " ", YEAR(TBL_DATA_00_Doc_Merge[[#This Row],[IntSV_Start]])), "")), IF(YEAR(TBL_DATA_00_Doc_Merge[[#This Row],[IntSV_Start]])=YEAR(TBL_DATA_00_Doc_Merge[[#This Row],[IntSV_End]]), CONCATENATE("between ", TEXT(TBL_DATA_00_Doc_Merge[[#This Row],[IntSV_Start]], "DDDD"), " ", DAY(TBL_DATA_00_Doc_Merge[[#This Row],[IntSV_Start]]), " ", TEXT(TBL_DATA_00_Doc_Merge[[#This Row],[IntSV_Start]], "MMMM"), " and ", TEXT(TBL_DATA_00_Doc_Merge[[#This Row],[IntSV_End]], "DDDD"), " ", DAY(TBL_DATA_00_Doc_Merge[[#This Row],[IntSV_End]])," ",  TEXT(TBL_DATA_00_Doc_Merge[[#This Row],[IntSV_End]], "MMMM")," ",YEAR(TBL_DATA_00_Doc_Merge[[#This Row],[IntSV_End]])), CONCATENATE("between ", TEXT(TBL_DATA_00_Doc_Merge[[#This Row],[IntSV_Start]], "DDDD"), " ", DAY(TBL_DATA_00_Doc_Merge[[#This Row],[IntSV_Start]]), " ", TEXT(TBL_DATA_00_Doc_Merge[[#This Row],[IntSV_Start]], "MMMM")," ", YEAR(TBL_DATA_00_Doc_Merge[[#This Row],[IntSV_Start]]), " and ", TEXT(TBL_DATA_00_Doc_Merge[[#This Row],[IntSV_End]], "DDDD"), " ", DAY(TBL_DATA_00_Doc_Merge[[#This Row],[IntSV_End]])," ",  TEXT(TBL_DATA_00_Doc_Merge[[#This Row],[IntSV_End]], "MMMM")," ",YEAR(TBL_DATA_00_Doc_Merge[[#This Row],[IntSV_End]])))))</f>
        <v>on Saturday 0 January 1900</v>
      </c>
      <c r="GX7" s="397">
        <f t="array" ref="GX7">INDEX(TBL_ADD_03_Dates[Date], MATCH(1, ("Neg"=TBL_ADD_03_Dates[Stage])*("Start"=TBL_ADD_03_Dates[Activity]),0))</f>
        <v>0</v>
      </c>
      <c r="GY7" s="397">
        <f t="array" ref="GY7">INDEX(TBL_ADD_03_Dates[Date], MATCH(1, ("Neg"=TBL_ADD_03_Dates[Stage])*("End"=TBL_ADD_03_Dates[Activity]),0))</f>
        <v>0</v>
      </c>
      <c r="GZ7" s="397" t="str">
        <f>IF(TBL_DATA_00_Doc_Merge[[#This Row],[Neg_Start]]=TBL_DATA_00_Doc_Merge[[#This Row],[Neg_End]], CONCATENATE("on ", TEXT(TBL_DATA_00_Doc_Merge[[#This Row],[Neg_Start]], "DDDD"), " ", DAY(TBL_DATA_00_Doc_Merge[[#This Row],[Neg_Start]]),"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IF(IF(AND(MONTH(TBL_DATA_00_Doc_Merge[[#This Row],[Neg_Start]])=MONTH(TBL_DATA_00_Doc_Merge[[#This Row],[Neg_End]]), YEAR(TBL_DATA_00_Doc_Merge[[#This Row],[Neg_Start]])=YEAR(TBL_DATA_00_Doc_Merge[[#This Row],[Neg_End]])), CONCATENATE(TEXT(TBL_DATA_00_Doc_Merge[[#This Row],[Neg_Start]], "MMMM"), " ", YEAR(TBL_DATA_00_Doc_Merge[[#This Row],[Neg_Start]])), "")&lt;&gt;"", CONCATENATE("between ", TEXT(TBL_DATA_00_Doc_Merge[[#This Row],[Neg_Start]], "DDDD"), " ", DAY(TBL_DATA_00_Doc_Merge[[#This Row],[Neg_Start]]), " and ", TEXT(TBL_DATA_00_Doc_Merge[[#This Row],[Neg_End]], "DDDD"), " ", DAY(TBL_DATA_00_Doc_Merge[[#This Row],[Neg_End]])," ", IF(AND(MONTH(TBL_DATA_00_Doc_Merge[[#This Row],[Neg_Start]])=MONTH(TBL_DATA_00_Doc_Merge[[#This Row],[Neg_End]]), YEAR(TBL_DATA_00_Doc_Merge[[#This Row],[Neg_Start]])=YEAR(TBL_DATA_00_Doc_Merge[[#This Row],[Neg_End]])), CONCATENATE(TEXT(TBL_DATA_00_Doc_Merge[[#This Row],[Neg_Start]], "MMMM"), " ", YEAR(TBL_DATA_00_Doc_Merge[[#This Row],[Neg_Start]])), "")), IF(YEAR(TBL_DATA_00_Doc_Merge[[#This Row],[Neg_Start]])=YEAR(TBL_DATA_00_Doc_Merge[[#This Row],[Neg_End]]), CONCATENATE("between ", TEXT(TBL_DATA_00_Doc_Merge[[#This Row],[Neg_Start]], "DDDD"), " ", DAY(TBL_DATA_00_Doc_Merge[[#This Row],[Neg_Start]]), " ", TEXT(TBL_DATA_00_Doc_Merge[[#This Row],[Neg_Start]], "MMMM"), " and ", TEXT(TBL_DATA_00_Doc_Merge[[#This Row],[Neg_End]], "DDDD"), " ", DAY(TBL_DATA_00_Doc_Merge[[#This Row],[Neg_End]])," ",  TEXT(TBL_DATA_00_Doc_Merge[[#This Row],[Neg_End]], "MMMM")," ",YEAR(TBL_DATA_00_Doc_Merge[[#This Row],[Neg_End]])), CONCATENATE("between ", TEXT(TBL_DATA_00_Doc_Merge[[#This Row],[Neg_Start]], "DDDD"), " ", DAY(TBL_DATA_00_Doc_Merge[[#This Row],[Neg_Start]]), " ", TEXT(TBL_DATA_00_Doc_Merge[[#This Row],[Neg_Start]], "MMMM")," ", YEAR(TBL_DATA_00_Doc_Merge[[#This Row],[Neg_Start]]), " and ", TEXT(TBL_DATA_00_Doc_Merge[[#This Row],[Neg_End]], "DDDD"), " ", DAY(TBL_DATA_00_Doc_Merge[[#This Row],[Neg_End]])," ",  TEXT(TBL_DATA_00_Doc_Merge[[#This Row],[Neg_End]], "MMMM")," ",YEAR(TBL_DATA_00_Doc_Merge[[#This Row],[Neg_End]])))))</f>
        <v>on Saturday 0 January 1900</v>
      </c>
      <c r="HA7" s="397"/>
      <c r="HB7" s="397" t="str">
        <f t="array" ref="HB7">TEXT(INDEX(TBL_ADD_03_Dates[Date], MATCH(1, ("Final"=TBL_ADD_03_Dates[Stage])*("Clarification"=TBL_ADD_03_Dates[Activity]),0)), "d MMMM YYYY")</f>
        <v/>
      </c>
      <c r="HC7" s="397" t="str">
        <f t="array" ref="HC7">TEXT(INDEX(TBL_ADD_03_Dates[Date], MATCH(1, ("Final"=TBL_ADD_03_Dates[Stage])*("Return"=TBL_ADD_03_Dates[Activity]),0)), "d MMMM YYYY")</f>
        <v/>
      </c>
      <c r="HD7" s="397" t="str">
        <f t="array" ref="HD7">IF(INDEX(TBL_ADD_03_Dates[Date], MATCH(1, ("Final"=TBL_ADD_03_Dates[Stage])*("Time"=TBL_ADD_03_Dates[Activity]),0))=0.5,"12:00 noon",IF(INDEX(TBL_ADD_03_Dates[Date], MATCH(1, ("Final"=TBL_ADD_03_Dates[Stage])*("Time"=TBL_ADD_03_Dates[Activity]),0))&lt;0.5, CONCATENATE(HOUR(INDEX(TBL_ADD_03_Dates[Date], MATCH(1, ("Final"=TBL_ADD_03_Dates[Stage])*("Time"=TBL_ADD_03_Dates[Activity]),0))), ":00 am"),CONCATENATE((HOUR(INDEX(TBL_ADD_03_Dates[Date], MATCH(1, ("Final"=TBL_ADD_03_Dates[Stage])*("Time"=TBL_ADD_03_Dates[Activity]),0)))-12), ":00 pm")))</f>
        <v>0:00 am</v>
      </c>
      <c r="HE7" s="397" t="str">
        <f t="array" ref="HE7">TEXT(INDEX(TBL_ADD_03_Dates[Date], MATCH(1, ("Final"=TBL_ADD_03_Dates[Stage])*("IntSV_Advise"=TBL_ADD_03_Dates[Activity]),0)), "d MMMM YYYY")</f>
        <v>0 January 1900</v>
      </c>
      <c r="HF7" s="397">
        <f t="array" ref="HF7">INDEX(TBL_ADD_03_Dates[Date], MATCH(1, ("Final"=TBL_ADD_03_Dates[Stage])*("IntSV_Start"=TBL_ADD_03_Dates[Activity]),0))</f>
        <v>0</v>
      </c>
      <c r="HG7" s="397">
        <f t="array" ref="HG7">INDEX(TBL_ADD_03_Dates[Date], MATCH(1, ("Final"=TBL_ADD_03_Dates[Stage])*("IntSV_End"=TBL_ADD_03_Dates[Activity]),0))</f>
        <v>0</v>
      </c>
      <c r="HH7" s="391" t="str">
        <f>IF(TBL_DATA_00_Doc_Merge[[#This Row],[Final_IntSV_Start]]=TBL_DATA_00_Doc_Merge[[#This Row],[Final_IntSV_End]], CONCATENATE("on ", TEXT(TBL_DATA_00_Doc_Merge[[#This Row],[Final_IntSV_Start]], "DDDD"), " ", DAY(TBL_DATA_00_Doc_Merge[[#This Row],[Final_IntSV_Start]]),"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"")&lt;&gt;"", CONCATENATE("between ", TEXT(TBL_DATA_00_Doc_Merge[[#This Row],[Final_IntSV_Start]], "DDDD"), " ", DAY(TBL_DATA_00_Doc_Merge[[#This Row],[Final_IntSV_Start]]), " and ", TEXT(TBL_DATA_00_Doc_Merge[[#This Row],[Final_IntSV_End]], "DDDD"), " ", DAY(TBL_DATA_00_Doc_Merge[[#This Row],[Final_IntSV_End]])," ", IF(AND(MONTH(TBL_DATA_00_Doc_Merge[[#This Row],[Final_IntSV_Start]])=MONTH(TBL_DATA_00_Doc_Merge[[#This Row],[Final_IntSV_End]]), YEAR(TBL_DATA_00_Doc_Merge[[#This Row],[Final_IntSV_Start]])=YEAR(TBL_DATA_00_Doc_Merge[[#This Row],[Final_IntSV_End]])), CONCATENATE(TEXT(TBL_DATA_00_Doc_Merge[[#This Row],[Final_IntSV_Start]], "MMMM"), " ", YEAR(TBL_DATA_00_Doc_Merge[[#This Row],[Final_IntSV_Start]])), "")), IF(YEAR(TBL_DATA_00_Doc_Merge[[#This Row],[Final_IntSV_Start]])=YEAR(TBL_DATA_00_Doc_Merge[[#This Row],[Final_IntSV_End]]), CONCATENATE("between ", TEXT(TBL_DATA_00_Doc_Merge[[#This Row],[Final_IntSV_Start]], "DDDD"), " ", DAY(TBL_DATA_00_Doc_Merge[[#This Row],[Final_IntSV_Start]]), " ", TEXT(TBL_DATA_00_Doc_Merge[[#This Row],[Final_IntSV_Start]], "MMMM"), " and ", TEXT(TBL_DATA_00_Doc_Merge[[#This Row],[Final_IntSV_End]], "DDDD"), " ", DAY(TBL_DATA_00_Doc_Merge[[#This Row],[Final_IntSV_End]])," ",  TEXT(TBL_DATA_00_Doc_Merge[[#This Row],[Final_IntSV_End]], "MMMM")," ",YEAR(TBL_DATA_00_Doc_Merge[[#This Row],[Final_IntSV_End]])), CONCATENATE("between ", TEXT(TBL_DATA_00_Doc_Merge[[#This Row],[Final_IntSV_Start]], "DDDD"), " ", DAY(TBL_DATA_00_Doc_Merge[[#This Row],[Final_IntSV_Start]]), " ", TEXT(TBL_DATA_00_Doc_Merge[[#This Row],[Final_IntSV_Start]], "MMMM")," ", YEAR(TBL_DATA_00_Doc_Merge[[#This Row],[Final_IntSV_Start]]), " and ", TEXT(TBL_DATA_00_Doc_Merge[[#This Row],[Final_IntSV_End]], "DDDD"), " ", DAY(TBL_DATA_00_Doc_Merge[[#This Row],[Final_IntSV_End]])," ",  TEXT(TBL_DATA_00_Doc_Merge[[#This Row],[Final_IntSV_End]], "MMMM")," ",YEAR(TBL_DATA_00_Doc_Merge[[#This Row],[Final_IntSV_End]])))))</f>
        <v>on Saturday 0 January 1900</v>
      </c>
      <c r="HI7" s="397">
        <f t="array" ref="HI7">INDEX(TBL_ADD_03_Dates[Date], MATCH(1, ("Award"=TBL_ADD_03_Dates[Stage])*("Award"=TBL_ADD_03_Dates[Activity]),0))</f>
        <v>0</v>
      </c>
      <c r="HJ7" s="396" t="str">
        <f>'Project Info'!$K$45</f>
        <v>Yes</v>
      </c>
      <c r="HK7" s="396" t="str">
        <f>IF(TBL_DATA_00_Doc_Merge[[#This Row],[Uplift]]="No","N/A", IF('Project Info'!$L$46&lt;&gt;"", 'Project Info'!$L$46, 'Project Info'!$K$46))</f>
        <v>CPI</v>
      </c>
      <c r="HL7" s="398">
        <f t="array" ref="HL7">IF(TBL_DATA_00_Doc_Merge[[#This Row],[Uplift]]="No", "N/A", INDEX(TBL_ADD_03_Dates[Date], MATCH(1, ("Uplift"=TBL_ADD_03_Dates[Stage])*("Uplift"=TBL_ADD_03_Dates[Activity]),0)))</f>
        <v>0</v>
      </c>
      <c r="HM7" s="396" t="e">
        <f>IF(TBL_DATA_00_Doc_Merge[[#This Row],[Uplift_date]]="N/A", CONCATENATE("the end of the ", TBL_DATA_00_Doc_Merge[[#This Row],[contract_or_fw]]), TEXT(TBL_DATA_00_Doc_Merge[[#This Row],[Uplift_date]]-1, "d MMMM yyyy"))</f>
        <v>#VALUE!</v>
      </c>
      <c r="HN7" s="396" t="e">
        <f>IF(#REF!="Section not applicable",  'Project Info'!$K$42,  "Yes")</f>
        <v>#REF!</v>
      </c>
      <c r="HO7" s="399" t="str">
        <f>IF(Response!$A$2&lt;&gt;"", Response!$A$2, "")</f>
        <v>Purdy Contracts Ltd</v>
      </c>
    </row>
  </sheetData>
  <sheetProtection algorithmName="SHA-512" hashValue="hVjCnMxN/3cR9G3tr9NiRYCpl9eWKa0HwdlhmaA8AkR28ttzjkDgO+xMDM8g1+fFWQVhGuvD1kJiJ1DTkRa5IA==" saltValue="/JvkqwfOK+Zx8ilVwiqwIQ==" spinCount="100000" sheet="1" objects="1" scenarios="1"/>
  <phoneticPr fontId="106" type="noConversion"/>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H52"/>
  <sheetViews>
    <sheetView topLeftCell="AI1" workbookViewId="0">
      <selection activeCell="AH1" sqref="A1:AH1048576"/>
    </sheetView>
  </sheetViews>
  <sheetFormatPr defaultColWidth="9.08984375" defaultRowHeight="12.5"/>
  <cols>
    <col min="1" max="1" width="19.6328125" style="415" hidden="1" customWidth="1"/>
    <col min="2" max="2" width="19.453125" style="2" hidden="1" customWidth="1"/>
    <col min="3" max="3" width="15.36328125" style="2" hidden="1" customWidth="1"/>
    <col min="4" max="34" width="21.36328125" style="2" hidden="1" customWidth="1"/>
    <col min="35" max="16384" width="9.08984375" style="2"/>
  </cols>
  <sheetData>
    <row r="1" spans="1:34" ht="13">
      <c r="A1" s="444" t="s">
        <v>54</v>
      </c>
      <c r="B1" s="445" t="s">
        <v>55</v>
      </c>
      <c r="D1" s="28" t="s">
        <v>1932</v>
      </c>
      <c r="E1" s="28" t="s">
        <v>1948</v>
      </c>
      <c r="F1" s="28" t="s">
        <v>1958</v>
      </c>
      <c r="G1" s="28" t="s">
        <v>1919</v>
      </c>
      <c r="H1" s="28" t="s">
        <v>1921</v>
      </c>
      <c r="I1" s="28" t="s">
        <v>1945</v>
      </c>
      <c r="J1" s="28" t="s">
        <v>1934</v>
      </c>
      <c r="K1" s="28" t="s">
        <v>1964</v>
      </c>
      <c r="L1" s="28" t="s">
        <v>2030</v>
      </c>
      <c r="M1" s="402" t="s">
        <v>1938</v>
      </c>
      <c r="N1" s="402" t="s">
        <v>2033</v>
      </c>
      <c r="O1" s="402" t="s">
        <v>2024</v>
      </c>
      <c r="P1" s="28" t="s">
        <v>2019</v>
      </c>
      <c r="Q1" s="28" t="s">
        <v>1933</v>
      </c>
      <c r="R1" s="28" t="s">
        <v>1924</v>
      </c>
      <c r="S1" s="402" t="s">
        <v>1923</v>
      </c>
      <c r="T1" s="28" t="s">
        <v>1953</v>
      </c>
      <c r="U1" s="402" t="s">
        <v>1920</v>
      </c>
      <c r="V1" s="28" t="s">
        <v>2008</v>
      </c>
      <c r="W1" s="28" t="s">
        <v>2015</v>
      </c>
      <c r="X1" s="28" t="s">
        <v>2016</v>
      </c>
      <c r="Y1" s="28" t="s">
        <v>2017</v>
      </c>
      <c r="Z1" s="28" t="s">
        <v>2009</v>
      </c>
      <c r="AA1" s="402" t="s">
        <v>2076</v>
      </c>
      <c r="AB1" s="28" t="s">
        <v>1922</v>
      </c>
      <c r="AC1" s="28" t="s">
        <v>1969</v>
      </c>
      <c r="AD1" s="28" t="s">
        <v>1997</v>
      </c>
      <c r="AE1" s="28" t="s">
        <v>2006</v>
      </c>
      <c r="AF1" s="28" t="s">
        <v>2007</v>
      </c>
      <c r="AG1" s="28" t="s">
        <v>2075</v>
      </c>
      <c r="AH1" s="28" t="s">
        <v>1937</v>
      </c>
    </row>
    <row r="2" spans="1:34">
      <c r="A2" s="446">
        <v>0</v>
      </c>
      <c r="B2" s="447" t="s">
        <v>2070</v>
      </c>
      <c r="D2" s="316" t="s">
        <v>467</v>
      </c>
      <c r="E2" s="316" t="s">
        <v>1947</v>
      </c>
      <c r="F2" s="316" t="s">
        <v>1955</v>
      </c>
      <c r="G2" s="368" t="s">
        <v>208</v>
      </c>
      <c r="H2" s="368" t="s">
        <v>449</v>
      </c>
      <c r="I2" s="2" t="s">
        <v>75</v>
      </c>
      <c r="J2" s="2" t="s">
        <v>25</v>
      </c>
      <c r="K2" s="368" t="s">
        <v>1960</v>
      </c>
      <c r="L2" s="316" t="s">
        <v>2027</v>
      </c>
      <c r="M2" s="368" t="s">
        <v>1800</v>
      </c>
      <c r="N2" s="316" t="s">
        <v>2032</v>
      </c>
      <c r="O2" s="368" t="s">
        <v>2025</v>
      </c>
      <c r="P2" s="316" t="s">
        <v>2020</v>
      </c>
      <c r="Q2" s="417" t="s">
        <v>436</v>
      </c>
      <c r="R2" s="416" t="s">
        <v>1293</v>
      </c>
      <c r="S2" s="368" t="s">
        <v>1847</v>
      </c>
      <c r="T2" s="316" t="s">
        <v>1949</v>
      </c>
      <c r="U2" s="368" t="s">
        <v>449</v>
      </c>
      <c r="V2" s="416" t="s">
        <v>1289</v>
      </c>
      <c r="W2" s="416" t="s">
        <v>1288</v>
      </c>
      <c r="X2" s="416" t="s">
        <v>1285</v>
      </c>
      <c r="Y2" s="416" t="s">
        <v>449</v>
      </c>
      <c r="Z2" s="416" t="s">
        <v>1289</v>
      </c>
      <c r="AA2" s="368" t="s">
        <v>545</v>
      </c>
      <c r="AB2" s="368" t="s">
        <v>1796</v>
      </c>
      <c r="AC2" s="316" t="s">
        <v>1965</v>
      </c>
      <c r="AD2" s="316" t="s">
        <v>1998</v>
      </c>
      <c r="AE2" s="416" t="s">
        <v>1287</v>
      </c>
      <c r="AF2" s="416" t="s">
        <v>1289</v>
      </c>
      <c r="AG2" s="316" t="s">
        <v>467</v>
      </c>
      <c r="AH2" s="316" t="s">
        <v>467</v>
      </c>
    </row>
    <row r="3" spans="1:34" ht="37.5">
      <c r="A3" s="446">
        <v>1</v>
      </c>
      <c r="B3" s="447" t="s">
        <v>56</v>
      </c>
      <c r="D3" s="316" t="s">
        <v>1797</v>
      </c>
      <c r="E3" s="316" t="s">
        <v>1946</v>
      </c>
      <c r="F3" s="316" t="s">
        <v>1956</v>
      </c>
      <c r="G3" s="368" t="s">
        <v>209</v>
      </c>
      <c r="H3" s="368" t="s">
        <v>548</v>
      </c>
      <c r="I3" s="2" t="s">
        <v>76</v>
      </c>
      <c r="J3" s="2" t="s">
        <v>66</v>
      </c>
      <c r="K3" s="368" t="s">
        <v>1961</v>
      </c>
      <c r="L3" s="368" t="s">
        <v>2028</v>
      </c>
      <c r="M3" s="368" t="s">
        <v>346</v>
      </c>
      <c r="N3" s="368" t="s">
        <v>2031</v>
      </c>
      <c r="O3" s="368" t="s">
        <v>2026</v>
      </c>
      <c r="P3" s="316" t="s">
        <v>2023</v>
      </c>
      <c r="Q3" s="417" t="s">
        <v>437</v>
      </c>
      <c r="R3" s="416" t="s">
        <v>1294</v>
      </c>
      <c r="S3" s="368" t="s">
        <v>1843</v>
      </c>
      <c r="T3" s="316" t="s">
        <v>1950</v>
      </c>
      <c r="U3" s="368" t="s">
        <v>545</v>
      </c>
      <c r="V3" s="316" t="s">
        <v>2215</v>
      </c>
      <c r="W3" s="316"/>
      <c r="Y3" s="416" t="s">
        <v>1292</v>
      </c>
      <c r="Z3" s="316" t="s">
        <v>2217</v>
      </c>
      <c r="AA3" s="368"/>
      <c r="AB3" s="368" t="s">
        <v>460</v>
      </c>
      <c r="AC3" s="316" t="s">
        <v>1966</v>
      </c>
      <c r="AD3" s="316" t="s">
        <v>1999</v>
      </c>
      <c r="AE3" s="416" t="s">
        <v>1286</v>
      </c>
      <c r="AF3" s="316" t="s">
        <v>2217</v>
      </c>
      <c r="AG3" s="416"/>
      <c r="AH3" s="316" t="s">
        <v>320</v>
      </c>
    </row>
    <row r="4" spans="1:34" ht="37.5">
      <c r="A4" s="446">
        <v>2</v>
      </c>
      <c r="B4" s="447" t="s">
        <v>57</v>
      </c>
      <c r="F4" s="316" t="s">
        <v>1957</v>
      </c>
      <c r="G4" s="368" t="s">
        <v>210</v>
      </c>
      <c r="H4" s="368" t="s">
        <v>460</v>
      </c>
      <c r="I4" s="316" t="s">
        <v>526</v>
      </c>
      <c r="J4" s="2" t="s">
        <v>67</v>
      </c>
      <c r="K4" s="368" t="s">
        <v>1962</v>
      </c>
      <c r="L4" s="368" t="s">
        <v>2029</v>
      </c>
      <c r="M4" s="368" t="s">
        <v>349</v>
      </c>
      <c r="N4" s="368"/>
      <c r="O4" s="368"/>
      <c r="P4" s="316" t="s">
        <v>2021</v>
      </c>
      <c r="Q4" s="417" t="s">
        <v>438</v>
      </c>
      <c r="R4" s="416" t="s">
        <v>1295</v>
      </c>
      <c r="S4" s="368" t="s">
        <v>1846</v>
      </c>
      <c r="T4" s="316" t="s">
        <v>1954</v>
      </c>
      <c r="V4" s="316" t="s">
        <v>2216</v>
      </c>
      <c r="Z4" s="316" t="s">
        <v>2216</v>
      </c>
      <c r="AA4" s="416"/>
      <c r="AB4" s="368" t="s">
        <v>24</v>
      </c>
      <c r="AC4" s="316" t="s">
        <v>1967</v>
      </c>
      <c r="AD4" s="316" t="s">
        <v>24</v>
      </c>
      <c r="AE4" s="416" t="s">
        <v>1290</v>
      </c>
      <c r="AF4" s="316" t="s">
        <v>2218</v>
      </c>
      <c r="AG4" s="416"/>
    </row>
    <row r="5" spans="1:34" ht="37.5">
      <c r="A5" s="446">
        <v>3</v>
      </c>
      <c r="B5" s="447" t="s">
        <v>58</v>
      </c>
      <c r="G5" s="368" t="s">
        <v>211</v>
      </c>
      <c r="I5" s="2" t="s">
        <v>84</v>
      </c>
      <c r="J5" s="2" t="s">
        <v>68</v>
      </c>
      <c r="K5" s="316" t="s">
        <v>1963</v>
      </c>
      <c r="L5" s="316"/>
      <c r="M5" s="368" t="s">
        <v>352</v>
      </c>
      <c r="N5" s="368"/>
      <c r="O5" s="368"/>
      <c r="P5" s="316" t="s">
        <v>2022</v>
      </c>
      <c r="Q5" s="417" t="s">
        <v>439</v>
      </c>
      <c r="R5" s="416" t="s">
        <v>1296</v>
      </c>
      <c r="S5" s="368" t="s">
        <v>1848</v>
      </c>
      <c r="T5" s="316" t="s">
        <v>1951</v>
      </c>
      <c r="AC5" s="316" t="s">
        <v>1968</v>
      </c>
      <c r="AF5" s="316" t="s">
        <v>2214</v>
      </c>
      <c r="AG5" s="316"/>
    </row>
    <row r="6" spans="1:34" ht="37.5">
      <c r="A6" s="446">
        <v>4</v>
      </c>
      <c r="B6" s="447" t="s">
        <v>59</v>
      </c>
      <c r="G6" s="368" t="s">
        <v>212</v>
      </c>
      <c r="I6" s="2" t="s">
        <v>134</v>
      </c>
      <c r="J6" s="2" t="s">
        <v>69</v>
      </c>
      <c r="M6" s="368" t="s">
        <v>351</v>
      </c>
      <c r="N6" s="368"/>
      <c r="O6" s="368"/>
      <c r="Q6" s="417" t="s">
        <v>440</v>
      </c>
      <c r="R6" s="416" t="s">
        <v>1297</v>
      </c>
      <c r="S6" s="368" t="s">
        <v>1849</v>
      </c>
      <c r="T6" s="316" t="s">
        <v>1952</v>
      </c>
      <c r="AC6" s="316" t="s">
        <v>1971</v>
      </c>
    </row>
    <row r="7" spans="1:34" ht="25">
      <c r="A7" s="446">
        <v>5</v>
      </c>
      <c r="B7" s="447" t="s">
        <v>60</v>
      </c>
      <c r="I7" s="316" t="s">
        <v>1971</v>
      </c>
      <c r="J7" s="2" t="s">
        <v>70</v>
      </c>
      <c r="M7" s="368" t="s">
        <v>350</v>
      </c>
      <c r="N7" s="368"/>
      <c r="O7" s="368"/>
      <c r="Q7" s="316" t="s">
        <v>1971</v>
      </c>
      <c r="S7" s="368" t="s">
        <v>1850</v>
      </c>
    </row>
    <row r="8" spans="1:34">
      <c r="A8" s="446">
        <v>6</v>
      </c>
      <c r="B8" s="447" t="s">
        <v>61</v>
      </c>
      <c r="J8" s="2" t="s">
        <v>73</v>
      </c>
      <c r="M8" s="316"/>
      <c r="N8" s="316"/>
      <c r="O8" s="316"/>
      <c r="S8" s="368" t="s">
        <v>1844</v>
      </c>
    </row>
    <row r="9" spans="1:34">
      <c r="A9" s="446">
        <v>7</v>
      </c>
      <c r="B9" s="447" t="s">
        <v>62</v>
      </c>
      <c r="J9" s="2" t="s">
        <v>74</v>
      </c>
      <c r="S9" s="368" t="s">
        <v>1845</v>
      </c>
    </row>
    <row r="10" spans="1:34" ht="25">
      <c r="A10" s="446">
        <v>8</v>
      </c>
      <c r="B10" s="447" t="s">
        <v>63</v>
      </c>
      <c r="J10" s="2" t="s">
        <v>71</v>
      </c>
    </row>
    <row r="11" spans="1:34" ht="25">
      <c r="A11" s="446">
        <v>9</v>
      </c>
      <c r="B11" s="447" t="s">
        <v>64</v>
      </c>
      <c r="J11" s="2" t="s">
        <v>72</v>
      </c>
    </row>
    <row r="12" spans="1:34">
      <c r="A12" s="390">
        <v>10</v>
      </c>
      <c r="B12" s="448" t="s">
        <v>118</v>
      </c>
    </row>
    <row r="14" spans="1:34" ht="13">
      <c r="A14" s="468" t="s">
        <v>2074</v>
      </c>
      <c r="B14" s="449" t="s">
        <v>402</v>
      </c>
      <c r="C14" s="450" t="s">
        <v>2051</v>
      </c>
      <c r="D14" s="365" t="s">
        <v>2071</v>
      </c>
      <c r="E14" s="451" t="s">
        <v>2072</v>
      </c>
      <c r="G14" s="28" t="s">
        <v>2011</v>
      </c>
      <c r="H14" s="28" t="s">
        <v>2013</v>
      </c>
      <c r="I14" s="28" t="s">
        <v>2012</v>
      </c>
      <c r="J14" s="28" t="s">
        <v>2010</v>
      </c>
      <c r="K14" s="28" t="s">
        <v>2014</v>
      </c>
    </row>
    <row r="15" spans="1:34" ht="87.5">
      <c r="A15" s="452" t="s">
        <v>2005</v>
      </c>
      <c r="B15" s="453" t="s">
        <v>508</v>
      </c>
      <c r="C15" s="454" t="s">
        <v>511</v>
      </c>
      <c r="D15" s="454" t="s">
        <v>2052</v>
      </c>
      <c r="E15" s="455" t="s">
        <v>24</v>
      </c>
      <c r="G15" s="2" t="s">
        <v>253</v>
      </c>
      <c r="H15" s="2" t="s">
        <v>78</v>
      </c>
      <c r="I15" s="135" t="s">
        <v>527</v>
      </c>
      <c r="J15" s="2" t="s">
        <v>26</v>
      </c>
      <c r="K15" s="2" t="s">
        <v>135</v>
      </c>
    </row>
    <row r="16" spans="1:34" ht="62.5">
      <c r="A16" s="452" t="s">
        <v>403</v>
      </c>
      <c r="B16" s="453" t="s">
        <v>407</v>
      </c>
      <c r="C16" s="454" t="s">
        <v>520</v>
      </c>
      <c r="D16" s="454" t="s">
        <v>2053</v>
      </c>
      <c r="E16" s="455" t="s">
        <v>24</v>
      </c>
      <c r="G16" s="2" t="s">
        <v>232</v>
      </c>
      <c r="H16" s="2" t="s">
        <v>79</v>
      </c>
      <c r="I16" s="135" t="s">
        <v>528</v>
      </c>
      <c r="J16" s="2" t="s">
        <v>532</v>
      </c>
      <c r="K16" s="2" t="s">
        <v>136</v>
      </c>
    </row>
    <row r="17" spans="1:17" ht="75">
      <c r="A17" s="456" t="s">
        <v>405</v>
      </c>
      <c r="B17" s="453" t="s">
        <v>406</v>
      </c>
      <c r="C17" s="454" t="s">
        <v>520</v>
      </c>
      <c r="D17" s="454" t="s">
        <v>2054</v>
      </c>
      <c r="E17" s="455" t="s">
        <v>24</v>
      </c>
      <c r="G17" s="316" t="s">
        <v>236</v>
      </c>
      <c r="H17" s="2" t="s">
        <v>80</v>
      </c>
      <c r="I17" s="135" t="s">
        <v>77</v>
      </c>
      <c r="J17" s="135" t="s">
        <v>533</v>
      </c>
      <c r="K17" s="2" t="s">
        <v>137</v>
      </c>
    </row>
    <row r="18" spans="1:17" ht="87.5">
      <c r="A18" s="452" t="s">
        <v>2000</v>
      </c>
      <c r="B18" s="453" t="s">
        <v>414</v>
      </c>
      <c r="C18" s="454" t="s">
        <v>514</v>
      </c>
      <c r="D18" s="454" t="s">
        <v>2055</v>
      </c>
      <c r="E18" s="455" t="s">
        <v>2056</v>
      </c>
      <c r="G18" s="2" t="s">
        <v>233</v>
      </c>
      <c r="H18" s="2" t="s">
        <v>81</v>
      </c>
      <c r="J18" s="135" t="s">
        <v>529</v>
      </c>
      <c r="K18" s="2" t="s">
        <v>138</v>
      </c>
    </row>
    <row r="19" spans="1:17" ht="50">
      <c r="A19" s="456" t="s">
        <v>2057</v>
      </c>
      <c r="B19" s="453" t="s">
        <v>508</v>
      </c>
      <c r="C19" s="454" t="s">
        <v>520</v>
      </c>
      <c r="D19" s="454" t="s">
        <v>2058</v>
      </c>
      <c r="E19" s="455" t="s">
        <v>24</v>
      </c>
      <c r="G19" s="2" t="s">
        <v>234</v>
      </c>
      <c r="H19" s="2" t="s">
        <v>82</v>
      </c>
      <c r="J19" s="2" t="s">
        <v>77</v>
      </c>
      <c r="K19" s="2" t="s">
        <v>139</v>
      </c>
    </row>
    <row r="20" spans="1:17" ht="75">
      <c r="A20" s="456" t="s">
        <v>408</v>
      </c>
      <c r="B20" s="457" t="s">
        <v>404</v>
      </c>
      <c r="C20" s="454" t="s">
        <v>520</v>
      </c>
      <c r="D20" s="454" t="s">
        <v>2059</v>
      </c>
      <c r="E20" s="455" t="s">
        <v>24</v>
      </c>
      <c r="G20" s="2" t="s">
        <v>235</v>
      </c>
      <c r="H20" s="2" t="s">
        <v>83</v>
      </c>
      <c r="K20" s="2" t="s">
        <v>77</v>
      </c>
    </row>
    <row r="21" spans="1:17" ht="62.5">
      <c r="A21" s="456" t="s">
        <v>409</v>
      </c>
      <c r="B21" s="453" t="s">
        <v>2001</v>
      </c>
      <c r="C21" s="454" t="s">
        <v>520</v>
      </c>
      <c r="D21" s="454" t="s">
        <v>2060</v>
      </c>
      <c r="E21" s="455" t="s">
        <v>24</v>
      </c>
      <c r="G21" s="2" t="s">
        <v>255</v>
      </c>
      <c r="H21" s="2" t="s">
        <v>77</v>
      </c>
    </row>
    <row r="22" spans="1:17" ht="50">
      <c r="A22" s="458" t="s">
        <v>410</v>
      </c>
      <c r="B22" s="453" t="s">
        <v>411</v>
      </c>
      <c r="C22" s="454" t="s">
        <v>520</v>
      </c>
      <c r="D22" s="454" t="s">
        <v>2061</v>
      </c>
      <c r="E22" s="455" t="s">
        <v>24</v>
      </c>
      <c r="G22" s="2" t="s">
        <v>237</v>
      </c>
    </row>
    <row r="23" spans="1:17" ht="50">
      <c r="A23" s="452" t="s">
        <v>412</v>
      </c>
      <c r="B23" s="453" t="s">
        <v>407</v>
      </c>
      <c r="C23" s="454" t="s">
        <v>520</v>
      </c>
      <c r="D23" s="454" t="s">
        <v>2062</v>
      </c>
      <c r="E23" s="455" t="s">
        <v>24</v>
      </c>
      <c r="G23" s="2" t="s">
        <v>256</v>
      </c>
    </row>
    <row r="24" spans="1:17" ht="50">
      <c r="A24" s="456" t="s">
        <v>506</v>
      </c>
      <c r="B24" s="453" t="s">
        <v>507</v>
      </c>
      <c r="C24" s="454" t="s">
        <v>514</v>
      </c>
      <c r="D24" s="454" t="s">
        <v>2065</v>
      </c>
      <c r="E24" s="455" t="s">
        <v>2066</v>
      </c>
      <c r="G24" s="2" t="s">
        <v>254</v>
      </c>
      <c r="Q24" s="418"/>
    </row>
    <row r="25" spans="1:17" ht="62.5">
      <c r="A25" s="456" t="s">
        <v>413</v>
      </c>
      <c r="B25" s="453" t="s">
        <v>2002</v>
      </c>
      <c r="C25" s="454" t="s">
        <v>520</v>
      </c>
      <c r="D25" s="454" t="s">
        <v>2067</v>
      </c>
      <c r="E25" s="455" t="s">
        <v>24</v>
      </c>
      <c r="G25" s="2" t="s">
        <v>260</v>
      </c>
    </row>
    <row r="26" spans="1:17" ht="37.5">
      <c r="A26" s="456" t="s">
        <v>2003</v>
      </c>
      <c r="B26" s="453" t="s">
        <v>2004</v>
      </c>
      <c r="C26" s="454" t="s">
        <v>520</v>
      </c>
      <c r="D26" s="454" t="s">
        <v>2068</v>
      </c>
      <c r="E26" s="455" t="s">
        <v>24</v>
      </c>
      <c r="G26" s="2" t="s">
        <v>259</v>
      </c>
    </row>
    <row r="27" spans="1:17" ht="50">
      <c r="A27" s="456" t="s">
        <v>415</v>
      </c>
      <c r="B27" s="453" t="s">
        <v>406</v>
      </c>
      <c r="C27" s="454" t="s">
        <v>520</v>
      </c>
      <c r="D27" s="454" t="s">
        <v>2069</v>
      </c>
      <c r="E27" s="455" t="s">
        <v>24</v>
      </c>
      <c r="G27" s="2" t="s">
        <v>257</v>
      </c>
    </row>
    <row r="28" spans="1:17" ht="62.5">
      <c r="A28" s="459" t="s">
        <v>2063</v>
      </c>
      <c r="B28" s="460" t="s">
        <v>2064</v>
      </c>
      <c r="C28" s="461" t="s">
        <v>2064</v>
      </c>
      <c r="D28" s="461" t="s">
        <v>24</v>
      </c>
      <c r="E28" s="448" t="s">
        <v>24</v>
      </c>
      <c r="G28" s="2" t="s">
        <v>258</v>
      </c>
    </row>
    <row r="29" spans="1:17" ht="37.5">
      <c r="A29" s="2"/>
      <c r="G29" s="2" t="s">
        <v>77</v>
      </c>
    </row>
    <row r="30" spans="1:17" ht="13">
      <c r="A30" s="462" t="s">
        <v>142</v>
      </c>
      <c r="B30" s="463" t="s">
        <v>546</v>
      </c>
    </row>
    <row r="31" spans="1:17" ht="25">
      <c r="A31" s="464" t="s">
        <v>1296</v>
      </c>
      <c r="B31" s="447">
        <v>3</v>
      </c>
    </row>
    <row r="32" spans="1:17" ht="25">
      <c r="A32" s="464" t="s">
        <v>1295</v>
      </c>
      <c r="B32" s="447">
        <v>3</v>
      </c>
    </row>
    <row r="33" spans="1:10">
      <c r="A33" s="465" t="s">
        <v>1294</v>
      </c>
      <c r="B33" s="466">
        <v>5</v>
      </c>
    </row>
    <row r="35" spans="1:10" ht="13">
      <c r="A35" s="467" t="s">
        <v>2073</v>
      </c>
      <c r="B35" s="436" t="s">
        <v>509</v>
      </c>
      <c r="C35" s="437" t="s">
        <v>510</v>
      </c>
      <c r="D35" s="135"/>
      <c r="F35" s="70"/>
      <c r="H35" s="70"/>
      <c r="J35" s="70"/>
    </row>
    <row r="36" spans="1:10" ht="50">
      <c r="A36" s="438" t="s">
        <v>511</v>
      </c>
      <c r="B36" s="439" t="s">
        <v>512</v>
      </c>
      <c r="C36" s="440" t="s">
        <v>513</v>
      </c>
      <c r="D36" s="135"/>
      <c r="F36" s="70"/>
      <c r="H36" s="70"/>
      <c r="I36" s="70"/>
      <c r="J36" s="70"/>
    </row>
    <row r="37" spans="1:10" ht="37.5">
      <c r="A37" s="438" t="s">
        <v>514</v>
      </c>
      <c r="B37" s="439" t="s">
        <v>515</v>
      </c>
      <c r="C37" s="440" t="s">
        <v>516</v>
      </c>
      <c r="D37" s="135"/>
      <c r="G37" s="70"/>
    </row>
    <row r="38" spans="1:10" ht="37.5">
      <c r="A38" s="438" t="s">
        <v>517</v>
      </c>
      <c r="B38" s="439" t="s">
        <v>518</v>
      </c>
      <c r="C38" s="440" t="s">
        <v>519</v>
      </c>
      <c r="D38" s="135"/>
      <c r="G38" s="70"/>
    </row>
    <row r="39" spans="1:10" ht="37.5">
      <c r="A39" s="438" t="s">
        <v>520</v>
      </c>
      <c r="B39" s="439" t="s">
        <v>521</v>
      </c>
      <c r="C39" s="440" t="s">
        <v>522</v>
      </c>
      <c r="D39" s="135"/>
      <c r="G39" s="70"/>
    </row>
    <row r="40" spans="1:10" ht="37.5">
      <c r="A40" s="441" t="s">
        <v>523</v>
      </c>
      <c r="B40" s="442" t="s">
        <v>524</v>
      </c>
      <c r="C40" s="443" t="s">
        <v>525</v>
      </c>
      <c r="D40" s="135"/>
    </row>
    <row r="47" spans="1:10">
      <c r="A47" s="2"/>
    </row>
    <row r="51" spans="5:5">
      <c r="E51" s="135"/>
    </row>
    <row r="52" spans="5:5">
      <c r="E52" s="135"/>
    </row>
  </sheetData>
  <sheetProtection algorithmName="SHA-512" hashValue="6i/y3dYqhhueQgYZMc8i3CzJu1jENkdrWnPm8fmGnhDvRz3AkbIcvz7ZXDgzeUv86ZjNewP4W8CaYaxf4pk6RQ==" saltValue="oyzdaLgmlUyqfPpnqboZxQ==" spinCount="100000" sheet="1" objects="1" scenarios="1"/>
  <phoneticPr fontId="106" type="noConversion"/>
  <pageMargins left="0.7" right="0.7" top="0.75" bottom="0.75" header="0.3" footer="0.3"/>
  <pageSetup paperSize="9" orientation="portrait"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bbbe42a-949d-453a-af58-c96a127b1b46">
      <Terms xmlns="http://schemas.microsoft.com/office/infopath/2007/PartnerControls"/>
    </lcf76f155ced4ddcb4097134ff3c332f>
    <TaxCatchAll xmlns="12975edc-f95b-4185-b53a-05e3e81353f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A9A4E8EBD8BEC418C3C79C1A2797970" ma:contentTypeVersion="13" ma:contentTypeDescription="Create a new document." ma:contentTypeScope="" ma:versionID="5dcde9fa93aa95f93216a3ab043cfae5">
  <xsd:schema xmlns:xsd="http://www.w3.org/2001/XMLSchema" xmlns:xs="http://www.w3.org/2001/XMLSchema" xmlns:p="http://schemas.microsoft.com/office/2006/metadata/properties" xmlns:ns2="6bbbe42a-949d-453a-af58-c96a127b1b46" xmlns:ns3="12975edc-f95b-4185-b53a-05e3e81353fc" targetNamespace="http://schemas.microsoft.com/office/2006/metadata/properties" ma:root="true" ma:fieldsID="fbcddcefca3caa9aebb1a5b0ad01f8fe" ns2:_="" ns3:_="">
    <xsd:import namespace="6bbbe42a-949d-453a-af58-c96a127b1b46"/>
    <xsd:import namespace="12975edc-f95b-4185-b53a-05e3e81353f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bbe42a-949d-453a-af58-c96a127b1b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64669cda-99f2-4ea9-a89b-c1bb7356f25d"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975edc-f95b-4185-b53a-05e3e81353f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a9eee4d0-e9ae-4711-8542-15560ac38deb}" ma:internalName="TaxCatchAll" ma:showField="CatchAllData" ma:web="12975edc-f95b-4185-b53a-05e3e81353f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69E24F-BB5E-4F30-BEDD-6E6F89A67486}">
  <ds:schemaRefs>
    <ds:schemaRef ds:uri="http://schemas.microsoft.com/sharepoint/v3/contenttype/forms"/>
  </ds:schemaRefs>
</ds:datastoreItem>
</file>

<file path=customXml/itemProps2.xml><?xml version="1.0" encoding="utf-8"?>
<ds:datastoreItem xmlns:ds="http://schemas.openxmlformats.org/officeDocument/2006/customXml" ds:itemID="{D60D4859-CD86-4586-817E-C8F6FD5DDE69}">
  <ds:schemaRefs>
    <ds:schemaRef ds:uri="http://purl.org/dc/term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infopath/2007/PartnerControls"/>
    <ds:schemaRef ds:uri="f515cf5c-5be7-4724-9da6-616151196dce"/>
    <ds:schemaRef ds:uri="4e90e47b-deb3-4c83-8261-417c8a9af215"/>
    <ds:schemaRef ds:uri="http://schemas.microsoft.com/office/2006/metadata/properties"/>
    <ds:schemaRef ds:uri="http://www.w3.org/XML/1998/namespace"/>
    <ds:schemaRef ds:uri="c83027eb-c36c-4ab4-aecd-3f67f53a3856"/>
    <ds:schemaRef ds:uri="ba5dc397-9b48-4773-9c2e-7feba1f572bd"/>
  </ds:schemaRefs>
</ds:datastoreItem>
</file>

<file path=customXml/itemProps3.xml><?xml version="1.0" encoding="utf-8"?>
<ds:datastoreItem xmlns:ds="http://schemas.openxmlformats.org/officeDocument/2006/customXml" ds:itemID="{D797E9D2-4C01-40CF-9687-15A5D985C478}"/>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42</vt:i4>
      </vt:variant>
      <vt:variant>
        <vt:lpstr>Named Ranges</vt:lpstr>
      </vt:variant>
      <vt:variant>
        <vt:i4>131</vt:i4>
      </vt:variant>
    </vt:vector>
  </HeadingPairs>
  <TitlesOfParts>
    <vt:vector size="173" baseType="lpstr">
      <vt:lpstr>Cover page</vt:lpstr>
      <vt:lpstr>Contents</vt:lpstr>
      <vt:lpstr>Check List</vt:lpstr>
      <vt:lpstr>Contact Details</vt:lpstr>
      <vt:lpstr>QA</vt:lpstr>
      <vt:lpstr>Project Info</vt:lpstr>
      <vt:lpstr>Dates</vt:lpstr>
      <vt:lpstr>0_Doc_Merge</vt:lpstr>
      <vt:lpstr>LookUp</vt:lpstr>
      <vt:lpstr>Lot_LookUp</vt:lpstr>
      <vt:lpstr>Q_LookUp</vt:lpstr>
      <vt:lpstr>Price_LookUp</vt:lpstr>
      <vt:lpstr>Price_Tables</vt:lpstr>
      <vt:lpstr>Qs_All</vt:lpstr>
      <vt:lpstr>Doc_Tables 1</vt:lpstr>
      <vt:lpstr>Doc_Tables 2</vt:lpstr>
      <vt:lpstr>Doc_Tables 3</vt:lpstr>
      <vt:lpstr>Part 1_Core 1</vt:lpstr>
      <vt:lpstr>Part 1_Core 2</vt:lpstr>
      <vt:lpstr>Part 1_Core 3</vt:lpstr>
      <vt:lpstr>Part 1_Core 3_D&amp;S</vt:lpstr>
      <vt:lpstr>Part 1_Core 4</vt:lpstr>
      <vt:lpstr>Part 2_Optional 1</vt:lpstr>
      <vt:lpstr>Part 2_Optional 2</vt:lpstr>
      <vt:lpstr>Part 2_Optional 3</vt:lpstr>
      <vt:lpstr>Part 3_Q5</vt:lpstr>
      <vt:lpstr>Part 3_Q6 (Experience Qs)</vt:lpstr>
      <vt:lpstr>Part 4 (Tech Qs)</vt:lpstr>
      <vt:lpstr>Part 5 (Not used)</vt:lpstr>
      <vt:lpstr>NHF SOR</vt:lpstr>
      <vt:lpstr>Void Baskets</vt:lpstr>
      <vt:lpstr>Electrics and Rewire Baskets</vt:lpstr>
      <vt:lpstr>Decent Homes Baskets</vt:lpstr>
      <vt:lpstr>Daywork</vt:lpstr>
      <vt:lpstr>OOH</vt:lpstr>
      <vt:lpstr>Additional</vt:lpstr>
      <vt:lpstr>Part 6_(X) (6)</vt:lpstr>
      <vt:lpstr>Part 6_(X) (7)</vt:lpstr>
      <vt:lpstr>Summary</vt:lpstr>
      <vt:lpstr>Response</vt:lpstr>
      <vt:lpstr>Response_PAS</vt:lpstr>
      <vt:lpstr>Output</vt:lpstr>
      <vt:lpstr>Contact_Details</vt:lpstr>
      <vt:lpstr>LUp_Advertise</vt:lpstr>
      <vt:lpstr>LUp_Approx</vt:lpstr>
      <vt:lpstr>LUp_CAType</vt:lpstr>
      <vt:lpstr>LUp_CCSValues</vt:lpstr>
      <vt:lpstr>LUp_Competitive</vt:lpstr>
      <vt:lpstr>LUp_Contract_List</vt:lpstr>
      <vt:lpstr>LUp_Contract_type</vt:lpstr>
      <vt:lpstr>LUp_DurUnit</vt:lpstr>
      <vt:lpstr>LUp_IntSV</vt:lpstr>
      <vt:lpstr>LUp_JCT</vt:lpstr>
      <vt:lpstr>LUp_Lots</vt:lpstr>
      <vt:lpstr>LUp_Marking</vt:lpstr>
      <vt:lpstr>LUp_Marks</vt:lpstr>
      <vt:lpstr>LUp_Names</vt:lpstr>
      <vt:lpstr>LUp_NEC3_Contract</vt:lpstr>
      <vt:lpstr>LUp_NHF</vt:lpstr>
      <vt:lpstr>LUp_Offices</vt:lpstr>
      <vt:lpstr>LUp_Partnering</vt:lpstr>
      <vt:lpstr>LUp_PCG</vt:lpstr>
      <vt:lpstr>LUp_Portal_Name</vt:lpstr>
      <vt:lpstr>LUp_Procedure</vt:lpstr>
      <vt:lpstr>LUp_Property_Type</vt:lpstr>
      <vt:lpstr>LUp_PropType</vt:lpstr>
      <vt:lpstr>LUp_ProviderType</vt:lpstr>
      <vt:lpstr>LUp_Restricted</vt:lpstr>
      <vt:lpstr>LUp_RIBA</vt:lpstr>
      <vt:lpstr>LUp_services</vt:lpstr>
      <vt:lpstr>LUp_SQ_List_1</vt:lpstr>
      <vt:lpstr>LUp_SQ_List_2</vt:lpstr>
      <vt:lpstr>LUp_SQ_List_3</vt:lpstr>
      <vt:lpstr>LUp_supplies</vt:lpstr>
      <vt:lpstr>LUp_Tender</vt:lpstr>
      <vt:lpstr>LUp_TenderType</vt:lpstr>
      <vt:lpstr>LUp_Uplift</vt:lpstr>
      <vt:lpstr>LUp_ValueType</vt:lpstr>
      <vt:lpstr>LUp_W_S_S</vt:lpstr>
      <vt:lpstr>LUp_works</vt:lpstr>
      <vt:lpstr>LUp_Yes</vt:lpstr>
      <vt:lpstr>LUp_YesNo</vt:lpstr>
      <vt:lpstr>Additional!Print_Area</vt:lpstr>
      <vt:lpstr>Contents!Print_Area</vt:lpstr>
      <vt:lpstr>Daywork!Print_Area</vt:lpstr>
      <vt:lpstr>'Decent Homes Baskets'!Print_Area</vt:lpstr>
      <vt:lpstr>'Electrics and Rewire Baskets'!Print_Area</vt:lpstr>
      <vt:lpstr>'NHF SOR'!Print_Area</vt:lpstr>
      <vt:lpstr>OOH!Print_Area</vt:lpstr>
      <vt:lpstr>'Part 1_Core 1'!Print_Area</vt:lpstr>
      <vt:lpstr>'Part 1_Core 2'!Print_Area</vt:lpstr>
      <vt:lpstr>'Part 1_Core 3'!Print_Area</vt:lpstr>
      <vt:lpstr>'Part 1_Core 3_D&amp;S'!Print_Area</vt:lpstr>
      <vt:lpstr>'Part 1_Core 4'!Print_Area</vt:lpstr>
      <vt:lpstr>'Part 2_Optional 1'!Print_Area</vt:lpstr>
      <vt:lpstr>'Part 2_Optional 2'!Print_Area</vt:lpstr>
      <vt:lpstr>'Part 2_Optional 3'!Print_Area</vt:lpstr>
      <vt:lpstr>'Part 3_Q5'!Print_Area</vt:lpstr>
      <vt:lpstr>'Part 3_Q6 (Experience Qs)'!Print_Area</vt:lpstr>
      <vt:lpstr>'Part 4 (Tech Qs)'!Print_Area</vt:lpstr>
      <vt:lpstr>'Part 5 (Not used)'!Print_Area</vt:lpstr>
      <vt:lpstr>'Part 6_(X) (6)'!Print_Area</vt:lpstr>
      <vt:lpstr>'Part 6_(X) (7)'!Print_Area</vt:lpstr>
      <vt:lpstr>'Project Info'!Print_Area</vt:lpstr>
      <vt:lpstr>Qs_All!Print_Area</vt:lpstr>
      <vt:lpstr>'Void Baskets'!Print_Area</vt:lpstr>
      <vt:lpstr>Additional!Print_Titles</vt:lpstr>
      <vt:lpstr>'Check List'!Print_Titles</vt:lpstr>
      <vt:lpstr>'Contact Details'!Print_Titles</vt:lpstr>
      <vt:lpstr>Daywork!Print_Titles</vt:lpstr>
      <vt:lpstr>'Decent Homes Baskets'!Print_Titles</vt:lpstr>
      <vt:lpstr>'Electrics and Rewire Baskets'!Print_Titles</vt:lpstr>
      <vt:lpstr>'NHF SOR'!Print_Titles</vt:lpstr>
      <vt:lpstr>OOH!Print_Titles</vt:lpstr>
      <vt:lpstr>'Part 1_Core 1'!Print_Titles</vt:lpstr>
      <vt:lpstr>'Part 1_Core 2'!Print_Titles</vt:lpstr>
      <vt:lpstr>'Part 1_Core 3'!Print_Titles</vt:lpstr>
      <vt:lpstr>'Part 1_Core 3_D&amp;S'!Print_Titles</vt:lpstr>
      <vt:lpstr>'Part 1_Core 4'!Print_Titles</vt:lpstr>
      <vt:lpstr>'Part 2_Optional 1'!Print_Titles</vt:lpstr>
      <vt:lpstr>'Part 2_Optional 2'!Print_Titles</vt:lpstr>
      <vt:lpstr>'Part 2_Optional 3'!Print_Titles</vt:lpstr>
      <vt:lpstr>'Part 3_Q5'!Print_Titles</vt:lpstr>
      <vt:lpstr>'Part 3_Q6 (Experience Qs)'!Print_Titles</vt:lpstr>
      <vt:lpstr>'Part 4 (Tech Qs)'!Print_Titles</vt:lpstr>
      <vt:lpstr>'Part 5 (Not used)'!Print_Titles</vt:lpstr>
      <vt:lpstr>'Part 6_(X) (6)'!Print_Titles</vt:lpstr>
      <vt:lpstr>'Part 6_(X) (7)'!Print_Titles</vt:lpstr>
      <vt:lpstr>Summary!Print_Titles</vt:lpstr>
      <vt:lpstr>'Void Baskets'!Print_Titles</vt:lpstr>
      <vt:lpstr>REF_Alternative</vt:lpstr>
      <vt:lpstr>REF_CCS_Q</vt:lpstr>
      <vt:lpstr>REF_Doc_Lot</vt:lpstr>
      <vt:lpstr>REF_Fin_Check</vt:lpstr>
      <vt:lpstr>REF_Int_or_SV</vt:lpstr>
      <vt:lpstr>REF_IntSV_1_Qs</vt:lpstr>
      <vt:lpstr>REF_IntSV_Fail</vt:lpstr>
      <vt:lpstr>REF_IntSV_Marking</vt:lpstr>
      <vt:lpstr>REF_IntSV_Weighted</vt:lpstr>
      <vt:lpstr>REF_IntSV_Weighting</vt:lpstr>
      <vt:lpstr>REF_Job_No</vt:lpstr>
      <vt:lpstr>REF_Leaseholders</vt:lpstr>
      <vt:lpstr>REF_Limit_wins</vt:lpstr>
      <vt:lpstr>REF_Lot_Order</vt:lpstr>
      <vt:lpstr>REF_Lotted</vt:lpstr>
      <vt:lpstr>REF_marks</vt:lpstr>
      <vt:lpstr>REF_No_Lots</vt:lpstr>
      <vt:lpstr>REF_Select_1_Qs</vt:lpstr>
      <vt:lpstr>REF_Select_1_Response</vt:lpstr>
      <vt:lpstr>REF_Select_Fail</vt:lpstr>
      <vt:lpstr>REF_Select_Include</vt:lpstr>
      <vt:lpstr>REF_Select_Marking</vt:lpstr>
      <vt:lpstr>REF_Select_Weighted</vt:lpstr>
      <vt:lpstr>REF_Split_Price</vt:lpstr>
      <vt:lpstr>REF_Split_Tech</vt:lpstr>
      <vt:lpstr>REF_Tech_1_Qs</vt:lpstr>
      <vt:lpstr>REF_Tech_1_Response</vt:lpstr>
      <vt:lpstr>REF_Tech_Fail</vt:lpstr>
      <vt:lpstr>REF_Tech_Marking</vt:lpstr>
      <vt:lpstr>REF_Tech_Weighted</vt:lpstr>
      <vt:lpstr>REF_Tech_Weighting</vt:lpstr>
      <vt:lpstr>REP_DECENT_BASKET</vt:lpstr>
      <vt:lpstr>REP_ELEC_ADJUSTMENT</vt:lpstr>
      <vt:lpstr>TOTAL_DAYWORK</vt:lpstr>
      <vt:lpstr>TOTAL_NHF_REPAIRS</vt:lpstr>
      <vt:lpstr>TOTAL_NHF_VOIDS</vt:lpstr>
      <vt:lpstr>TOTAL_REP_DECENT</vt:lpstr>
      <vt:lpstr>TOTAL_REP_ELEC</vt:lpstr>
      <vt:lpstr>TOTAL_VOID_DECENT</vt:lpstr>
      <vt:lpstr>TOTAL_VOID_ELEC</vt:lpstr>
      <vt:lpstr>TOTAL_VOIDBASKETS</vt:lpstr>
      <vt:lpstr>VOID_DECENT_BASKET</vt:lpstr>
      <vt:lpstr>VOID_ELEC_ADJUSTMENT</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Jones</dc:creator>
  <cp:lastModifiedBy>Julie Watts</cp:lastModifiedBy>
  <cp:lastPrinted>2019-02-18T14:08:22Z</cp:lastPrinted>
  <dcterms:created xsi:type="dcterms:W3CDTF">2015-05-06T10:01:53Z</dcterms:created>
  <dcterms:modified xsi:type="dcterms:W3CDTF">2025-01-17T10:02:17Z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0x010100EA9A4E8EBD8BEC418C3C79C1A2797970</vt:lpwstr>
  </property>
  <property fmtid="{D5CDD505-2E9C-101B-9397-08002B2CF9AE}" pid="3" name="MediaServiceImageTags">
    <vt:lpwstr/>
  </property>
  <property fmtid="{D5CDD505-2E9C-101B-9397-08002B2CF9AE}" pid="4" name="Document Classification">
    <vt:lpwstr/>
  </property>
</Properties>
</file>